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autoCompressPictures="0"/>
  <bookViews>
    <workbookView xWindow="0" yWindow="0" windowWidth="19440" windowHeight="7530" tabRatio="0"/>
  </bookViews>
  <sheets>
    <sheet name="Ini" sheetId="27" r:id="rId1"/>
    <sheet name="Duv" sheetId="28" r:id="rId2"/>
    <sheet name="Sug" sheetId="29" r:id="rId3"/>
    <sheet name="Sou" sheetId="30" r:id="rId4"/>
    <sheet name="Plan" sheetId="14" r:id="rId5"/>
    <sheet name="Do" sheetId="15" r:id="rId6"/>
    <sheet name="Che" sheetId="17" r:id="rId7"/>
    <sheet name="Act" sheetId="18" r:id="rId8"/>
    <sheet name="Gra" sheetId="19" r:id="rId9"/>
    <sheet name="Ale" sheetId="25" r:id="rId10"/>
    <sheet name="Rel" sheetId="26" r:id="rId11"/>
    <sheet name="Das" sheetId="31" r:id="rId12"/>
  </sheets>
  <definedNames>
    <definedName name="__xlcn.WorksheetConnection_ProC5H561" hidden="1">#REF!</definedName>
    <definedName name="_xlnm.Print_Area" localSheetId="9">Ale!$C$4:$O$31</definedName>
    <definedName name="_xlnm.Print_Area" localSheetId="11">Das!$B$3:$K$31</definedName>
    <definedName name="_xlnm.Print_Area" localSheetId="8">Gra!$C$4:$T$59</definedName>
    <definedName name="_xlnm.Print_Area" localSheetId="10">Rel!$C$5:$Q$96</definedName>
    <definedName name="ListaCausas">OFFSET(Plan!$P$9,0,0,COUNTIF(Plan!$O$9:$O$38,"&gt;"&amp;0))</definedName>
  </definedNames>
  <calcPr calcId="145621" concurrentCalc="0"/>
</workbook>
</file>

<file path=xl/calcChain.xml><?xml version="1.0" encoding="utf-8"?>
<calcChain xmlns="http://schemas.openxmlformats.org/spreadsheetml/2006/main">
  <c r="E11" i="14" l="1"/>
  <c r="E12" i="14"/>
  <c r="E13" i="14"/>
  <c r="D15" i="14"/>
  <c r="U9" i="14"/>
  <c r="H11" i="14"/>
  <c r="G15" i="14"/>
  <c r="U10" i="14"/>
  <c r="K11" i="14"/>
  <c r="J15" i="14"/>
  <c r="U11" i="14"/>
  <c r="E20" i="14"/>
  <c r="D24" i="14"/>
  <c r="U12" i="14"/>
  <c r="H20" i="14"/>
  <c r="H21" i="14"/>
  <c r="G24" i="14"/>
  <c r="U13" i="14"/>
  <c r="K20" i="14"/>
  <c r="J24" i="14"/>
  <c r="U14" i="14"/>
  <c r="W9" i="14"/>
  <c r="Q10" i="14"/>
  <c r="Q11" i="14"/>
  <c r="Q12" i="14"/>
  <c r="Q13" i="14"/>
  <c r="Q14" i="14"/>
  <c r="Q15" i="14"/>
  <c r="X9" i="14"/>
  <c r="R17" i="14"/>
  <c r="Q16" i="14"/>
  <c r="S10" i="14"/>
  <c r="S11" i="14"/>
  <c r="S12" i="14"/>
  <c r="S13" i="14"/>
  <c r="S14" i="14"/>
  <c r="S15" i="14"/>
  <c r="S16" i="14"/>
  <c r="M10" i="14"/>
  <c r="M11" i="14"/>
  <c r="M12" i="14"/>
  <c r="M15" i="14"/>
  <c r="M20" i="14"/>
  <c r="M25" i="14"/>
  <c r="M30" i="14"/>
  <c r="M31" i="14"/>
  <c r="M35"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B5" i="31"/>
  <c r="E8" i="17"/>
  <c r="G8" i="17"/>
  <c r="E9" i="17"/>
  <c r="G9" i="17"/>
  <c r="E10" i="17"/>
  <c r="G10" i="17"/>
  <c r="E11" i="17"/>
  <c r="G11" i="17"/>
  <c r="E12" i="17"/>
  <c r="G12" i="17"/>
  <c r="D13" i="17"/>
  <c r="B13" i="15"/>
  <c r="B14" i="15"/>
  <c r="E13" i="17"/>
  <c r="G13" i="17"/>
  <c r="D14" i="17"/>
  <c r="E14" i="17"/>
  <c r="G14" i="17"/>
  <c r="E15" i="17"/>
  <c r="G15" i="17"/>
  <c r="E16" i="17"/>
  <c r="G16" i="17"/>
  <c r="E17" i="17"/>
  <c r="G17" i="17"/>
  <c r="E18" i="17"/>
  <c r="G18" i="17"/>
  <c r="E19" i="17"/>
  <c r="G19" i="17"/>
  <c r="E20" i="17"/>
  <c r="G20" i="17"/>
  <c r="E21" i="17"/>
  <c r="G21" i="17"/>
  <c r="E22" i="17"/>
  <c r="G22" i="17"/>
  <c r="E23" i="17"/>
  <c r="G23" i="17"/>
  <c r="E24" i="17"/>
  <c r="G24" i="17"/>
  <c r="E25" i="17"/>
  <c r="G25" i="17"/>
  <c r="E26" i="17"/>
  <c r="G26" i="17"/>
  <c r="E27" i="17"/>
  <c r="G27" i="17"/>
  <c r="E28" i="17"/>
  <c r="G28" i="17"/>
  <c r="E29" i="17"/>
  <c r="G29" i="17"/>
  <c r="E30" i="17"/>
  <c r="G30" i="17"/>
  <c r="E31" i="17"/>
  <c r="G31" i="17"/>
  <c r="E32" i="17"/>
  <c r="G32" i="17"/>
  <c r="E33" i="17"/>
  <c r="G33" i="17"/>
  <c r="E34" i="17"/>
  <c r="G34" i="17"/>
  <c r="E35" i="17"/>
  <c r="G35" i="17"/>
  <c r="E36" i="17"/>
  <c r="G36" i="17"/>
  <c r="E37" i="17"/>
  <c r="G37" i="17"/>
  <c r="E38" i="17"/>
  <c r="G38" i="17"/>
  <c r="E39" i="17"/>
  <c r="G39" i="17"/>
  <c r="E40" i="17"/>
  <c r="G40" i="17"/>
  <c r="E41" i="17"/>
  <c r="G41" i="17"/>
  <c r="E42" i="17"/>
  <c r="G42" i="17"/>
  <c r="E43" i="17"/>
  <c r="G43" i="17"/>
  <c r="E44" i="17"/>
  <c r="G44" i="17"/>
  <c r="E45" i="17"/>
  <c r="G45" i="17"/>
  <c r="E46" i="17"/>
  <c r="G46" i="17"/>
  <c r="E47" i="17"/>
  <c r="G47" i="17"/>
  <c r="E48" i="17"/>
  <c r="G48" i="17"/>
  <c r="E49" i="17"/>
  <c r="G49" i="17"/>
  <c r="E50" i="17"/>
  <c r="G50" i="17"/>
  <c r="E51" i="17"/>
  <c r="G51" i="17"/>
  <c r="E52" i="17"/>
  <c r="G52" i="17"/>
  <c r="E53" i="17"/>
  <c r="G53" i="17"/>
  <c r="E54" i="17"/>
  <c r="G54" i="17"/>
  <c r="E55" i="17"/>
  <c r="G55" i="17"/>
  <c r="E56" i="17"/>
  <c r="G56" i="17"/>
  <c r="E57" i="17"/>
  <c r="G57" i="17"/>
  <c r="E58" i="17"/>
  <c r="G58" i="17"/>
  <c r="E59" i="17"/>
  <c r="G59" i="17"/>
  <c r="E60" i="17"/>
  <c r="G60" i="17"/>
  <c r="E61" i="17"/>
  <c r="G61" i="17"/>
  <c r="E62" i="17"/>
  <c r="G62" i="17"/>
  <c r="E63" i="17"/>
  <c r="G63" i="17"/>
  <c r="E64" i="17"/>
  <c r="G64" i="17"/>
  <c r="E65" i="17"/>
  <c r="G65" i="17"/>
  <c r="E66" i="17"/>
  <c r="G66" i="17"/>
  <c r="E67" i="17"/>
  <c r="G67" i="17"/>
  <c r="E68" i="17"/>
  <c r="G68" i="17"/>
  <c r="E69" i="17"/>
  <c r="G69" i="17"/>
  <c r="E70" i="17"/>
  <c r="G70" i="17"/>
  <c r="E71" i="17"/>
  <c r="G71" i="17"/>
  <c r="E72" i="17"/>
  <c r="G72" i="17"/>
  <c r="E73" i="17"/>
  <c r="G73" i="17"/>
  <c r="E74" i="17"/>
  <c r="G74" i="17"/>
  <c r="E75" i="17"/>
  <c r="G75" i="17"/>
  <c r="E76" i="17"/>
  <c r="G76" i="17"/>
  <c r="E77" i="17"/>
  <c r="G77" i="17"/>
  <c r="E78" i="17"/>
  <c r="G78" i="17"/>
  <c r="E79" i="17"/>
  <c r="G79" i="17"/>
  <c r="E80" i="17"/>
  <c r="G80" i="17"/>
  <c r="E81" i="17"/>
  <c r="G81" i="17"/>
  <c r="E82" i="17"/>
  <c r="G82" i="17"/>
  <c r="E83" i="17"/>
  <c r="G83" i="17"/>
  <c r="E84" i="17"/>
  <c r="G84" i="17"/>
  <c r="E85" i="17"/>
  <c r="G85" i="17"/>
  <c r="E86" i="17"/>
  <c r="G86" i="17"/>
  <c r="E87" i="17"/>
  <c r="G87" i="17"/>
  <c r="E88" i="17"/>
  <c r="G88" i="17"/>
  <c r="E89" i="17"/>
  <c r="G89" i="17"/>
  <c r="E90" i="17"/>
  <c r="G90" i="17"/>
  <c r="E91" i="17"/>
  <c r="G91" i="17"/>
  <c r="E92" i="17"/>
  <c r="G92" i="17"/>
  <c r="E93" i="17"/>
  <c r="G93" i="17"/>
  <c r="E94" i="17"/>
  <c r="G94" i="17"/>
  <c r="E95" i="17"/>
  <c r="G95" i="17"/>
  <c r="E96" i="17"/>
  <c r="G96" i="17"/>
  <c r="K10" i="17"/>
  <c r="J5" i="31"/>
  <c r="K9" i="17"/>
  <c r="H5" i="31"/>
  <c r="K8" i="17"/>
  <c r="F5" i="31"/>
  <c r="D5" i="31"/>
  <c r="C31" i="25"/>
  <c r="C95" i="26"/>
  <c r="M8" i="17"/>
  <c r="M9" i="17"/>
  <c r="M10" i="17"/>
  <c r="C26" i="25"/>
  <c r="E27" i="25"/>
  <c r="E91" i="26"/>
  <c r="L8" i="17"/>
  <c r="L9" i="17"/>
  <c r="L10" i="17"/>
  <c r="C23" i="25"/>
  <c r="E24" i="25"/>
  <c r="E88" i="26"/>
  <c r="D15" i="17"/>
  <c r="B15" i="15"/>
  <c r="K11" i="17"/>
  <c r="C20" i="25"/>
  <c r="E21" i="25"/>
  <c r="E85" i="26"/>
  <c r="C8" i="18"/>
  <c r="L11" i="17"/>
  <c r="D8" i="17"/>
  <c r="D9" i="17"/>
  <c r="D10" i="17"/>
  <c r="D11" i="17"/>
  <c r="D12"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E10" i="14"/>
  <c r="M9" i="14"/>
  <c r="H10" i="14"/>
  <c r="M14" i="14"/>
  <c r="K10" i="14"/>
  <c r="M19" i="14"/>
  <c r="E19" i="14"/>
  <c r="M24" i="14"/>
  <c r="H19" i="14"/>
  <c r="M29" i="14"/>
  <c r="K19" i="14"/>
  <c r="M34" i="14"/>
  <c r="P19" i="14"/>
  <c r="P20" i="14"/>
  <c r="P21" i="14"/>
  <c r="P22" i="14"/>
  <c r="P23" i="14"/>
  <c r="P24" i="14"/>
  <c r="P25" i="14"/>
  <c r="P26" i="14"/>
  <c r="P27" i="14"/>
  <c r="P28" i="14"/>
  <c r="P29" i="14"/>
  <c r="P30" i="14"/>
  <c r="P31" i="14"/>
  <c r="P32" i="14"/>
  <c r="P33" i="14"/>
  <c r="P34" i="14"/>
  <c r="P35" i="14"/>
  <c r="P36" i="14"/>
  <c r="P37" i="14"/>
  <c r="P38" i="14"/>
  <c r="P10" i="14"/>
  <c r="P11" i="14"/>
  <c r="P12" i="14"/>
  <c r="P13" i="14"/>
  <c r="P14" i="14"/>
  <c r="P15" i="14"/>
  <c r="P16" i="14"/>
  <c r="P17" i="14"/>
  <c r="P18" i="14"/>
  <c r="P9" i="14"/>
  <c r="B8" i="15"/>
  <c r="N35" i="14"/>
  <c r="M36" i="14"/>
  <c r="N36" i="14"/>
  <c r="M37" i="14"/>
  <c r="N37" i="14"/>
  <c r="M38" i="14"/>
  <c r="N38" i="14"/>
  <c r="N34" i="14"/>
  <c r="N30" i="14"/>
  <c r="N31" i="14"/>
  <c r="M32" i="14"/>
  <c r="N32" i="14"/>
  <c r="M33" i="14"/>
  <c r="N33" i="14"/>
  <c r="N29" i="14"/>
  <c r="N25" i="14"/>
  <c r="M26" i="14"/>
  <c r="N26" i="14"/>
  <c r="M27" i="14"/>
  <c r="N27" i="14"/>
  <c r="M28" i="14"/>
  <c r="N28" i="14"/>
  <c r="N24" i="14"/>
  <c r="N20" i="14"/>
  <c r="M21" i="14"/>
  <c r="N21" i="14"/>
  <c r="M22" i="14"/>
  <c r="N22" i="14"/>
  <c r="M23" i="14"/>
  <c r="N23" i="14"/>
  <c r="N19" i="14"/>
  <c r="N15" i="14"/>
  <c r="M16" i="14"/>
  <c r="N16" i="14"/>
  <c r="M17" i="14"/>
  <c r="N17" i="14"/>
  <c r="M18" i="14"/>
  <c r="N18" i="14"/>
  <c r="N14" i="14"/>
  <c r="N10" i="14"/>
  <c r="N11" i="14"/>
  <c r="N12" i="14"/>
  <c r="M13" i="14"/>
  <c r="N13" i="14"/>
  <c r="N9" i="14"/>
  <c r="K23" i="14"/>
  <c r="K22" i="14"/>
  <c r="K21" i="14"/>
  <c r="K14" i="14"/>
  <c r="K13" i="14"/>
  <c r="K12" i="14"/>
  <c r="H23" i="14"/>
  <c r="H22" i="14"/>
  <c r="H14" i="14"/>
  <c r="H13" i="14"/>
  <c r="H12" i="14"/>
  <c r="E23" i="14"/>
  <c r="E22" i="14"/>
  <c r="E21" i="14"/>
  <c r="E14" i="14"/>
  <c r="B28" i="28"/>
  <c r="B27" i="28"/>
  <c r="V12" i="14"/>
  <c r="R10" i="14"/>
  <c r="R11" i="14"/>
  <c r="R12" i="14"/>
  <c r="R13" i="14"/>
  <c r="T16" i="14"/>
  <c r="R16" i="14"/>
  <c r="T15" i="14"/>
  <c r="R15" i="14"/>
  <c r="W14" i="14"/>
  <c r="V11" i="14"/>
  <c r="X14" i="14"/>
  <c r="V14" i="14"/>
  <c r="T14" i="14"/>
  <c r="R14" i="14"/>
  <c r="W13" i="14"/>
  <c r="X13" i="14"/>
  <c r="V13" i="14"/>
  <c r="T13" i="14"/>
  <c r="W12" i="14"/>
  <c r="V9" i="14"/>
  <c r="X12" i="14"/>
  <c r="T12" i="14"/>
  <c r="W11" i="14"/>
  <c r="V10" i="14"/>
  <c r="X11" i="14"/>
  <c r="T11" i="14"/>
  <c r="W10" i="14"/>
  <c r="X10" i="14"/>
  <c r="T10" i="14"/>
  <c r="C6" i="18"/>
  <c r="B9" i="15"/>
  <c r="B10" i="15"/>
  <c r="B11" i="15"/>
  <c r="B12"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C96" i="17"/>
  <c r="C95" i="17"/>
  <c r="C94" i="17"/>
  <c r="C93" i="17"/>
  <c r="C92" i="17"/>
  <c r="C91" i="17"/>
  <c r="C90" i="17"/>
  <c r="C89" i="17"/>
  <c r="C88" i="17"/>
  <c r="C87" i="17"/>
  <c r="C86" i="17"/>
  <c r="C85" i="17"/>
  <c r="C84" i="17"/>
  <c r="C83" i="17"/>
  <c r="C82" i="17"/>
  <c r="C81" i="17"/>
  <c r="C80" i="17"/>
  <c r="C79" i="17"/>
  <c r="C78" i="17"/>
  <c r="C77" i="17"/>
  <c r="C76" i="17"/>
  <c r="C75" i="17"/>
  <c r="C74" i="17"/>
  <c r="C73" i="17"/>
  <c r="C72" i="17"/>
  <c r="C71" i="17"/>
  <c r="C70" i="17"/>
  <c r="C69" i="17"/>
  <c r="C68" i="17"/>
  <c r="C67" i="17"/>
  <c r="C66" i="17"/>
  <c r="C65" i="17"/>
  <c r="C64" i="17"/>
  <c r="C63" i="17"/>
  <c r="C62" i="17"/>
  <c r="C61" i="17"/>
  <c r="C60" i="17"/>
  <c r="C59" i="17"/>
  <c r="C58" i="17"/>
  <c r="C57" i="17"/>
  <c r="C56" i="17"/>
  <c r="C55" i="17"/>
  <c r="C54" i="17"/>
  <c r="C53" i="17"/>
  <c r="C52" i="17"/>
  <c r="C51" i="17"/>
  <c r="C50" i="17"/>
  <c r="C49" i="17"/>
  <c r="C48" i="17"/>
  <c r="C47" i="17"/>
  <c r="C46" i="17"/>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E73" i="26"/>
  <c r="E70" i="26"/>
  <c r="N35" i="26"/>
  <c r="N33" i="26"/>
  <c r="N31" i="26"/>
  <c r="N29" i="26"/>
  <c r="M35" i="26"/>
  <c r="M33" i="26"/>
  <c r="M31" i="26"/>
  <c r="M29" i="26"/>
  <c r="K35" i="26"/>
  <c r="K33" i="26"/>
  <c r="K31" i="26"/>
  <c r="K29" i="26"/>
  <c r="H35" i="26"/>
  <c r="H33" i="26"/>
  <c r="H31" i="26"/>
  <c r="H29" i="26"/>
  <c r="C35" i="26"/>
  <c r="C33" i="26"/>
  <c r="C29" i="26"/>
  <c r="C31" i="26"/>
  <c r="E11" i="25"/>
  <c r="E8" i="25"/>
  <c r="C90" i="26"/>
  <c r="C87" i="26"/>
  <c r="C84" i="26"/>
  <c r="I29" i="15"/>
  <c r="I30" i="15"/>
  <c r="I31" i="15"/>
  <c r="I28" i="15"/>
  <c r="I25" i="15"/>
  <c r="I26" i="15"/>
  <c r="I27" i="15"/>
  <c r="I24" i="15"/>
  <c r="I21" i="15"/>
  <c r="I22" i="15"/>
  <c r="I23" i="15"/>
  <c r="I20" i="15"/>
  <c r="I17" i="15"/>
  <c r="I18" i="15"/>
  <c r="I19" i="15"/>
  <c r="I16" i="15"/>
  <c r="I13" i="15"/>
  <c r="I14" i="15"/>
  <c r="I15" i="15"/>
  <c r="I12" i="15"/>
  <c r="I9" i="15"/>
  <c r="I10" i="15"/>
  <c r="I11" i="15"/>
  <c r="I8" i="15"/>
  <c r="K12" i="17"/>
  <c r="K13" i="17"/>
  <c r="N27" i="26"/>
  <c r="M27" i="26"/>
  <c r="K27" i="26"/>
  <c r="H27" i="26"/>
  <c r="C27" i="26"/>
  <c r="N25" i="26"/>
  <c r="M25" i="26"/>
  <c r="K25" i="26"/>
  <c r="H25" i="26"/>
  <c r="C25" i="26"/>
  <c r="N23" i="26"/>
  <c r="M23" i="26"/>
  <c r="K23" i="26"/>
  <c r="H23" i="26"/>
  <c r="C23" i="26"/>
  <c r="N21" i="26"/>
  <c r="M21" i="26"/>
  <c r="K21" i="26"/>
  <c r="H21" i="26"/>
  <c r="C21" i="26"/>
  <c r="E15" i="26"/>
  <c r="C15" i="26"/>
  <c r="M11" i="17"/>
</calcChain>
</file>

<file path=xl/comments1.xml><?xml version="1.0" encoding="utf-8"?>
<comments xmlns="http://schemas.openxmlformats.org/spreadsheetml/2006/main">
  <authors>
    <author>Rafael Vianna Ávila</author>
  </authors>
  <commentList>
    <comment ref="C6" authorId="0">
      <text>
        <r>
          <rPr>
            <sz val="12"/>
            <color indexed="81"/>
            <rFont val="Segoe UI"/>
            <family val="2"/>
          </rPr>
          <t>Descreva de forma breve um problema (efeito) que a sua empresa quer resolver. Por exemplo:
1 - Receitas caindo
2 - Aumento de insatisfação de clientes
3 - Problemas recorrentes com equipamentos
4 - Excesso de pedidos de demissão
Existem diversos outros problemas e cada empresa tem os seus próprios. Lembre-se de anotar de forma breve qual é esse efeito (negativo) que a sua empresa quer resolver.</t>
        </r>
      </text>
    </comment>
    <comment ref="C8" authorId="0">
      <text>
        <r>
          <rPr>
            <sz val="12"/>
            <color indexed="81"/>
            <rFont val="Segoe UI"/>
            <family val="2"/>
          </rPr>
          <t>Toda causa que envolve o material que está sendo utilizado no trabalho, por exemplo:
1 - Alto custo de insumos;
2 - Número limitado de fornecedores;
3 - Baixa qualidade de mantéria-prima.
Diversas podem ser as causas relacionadas aos materiais, analise bem os seus processos para encontrá-las.</t>
        </r>
      </text>
    </comment>
    <comment ref="F8" authorId="0">
      <text>
        <r>
          <rPr>
            <sz val="12"/>
            <color indexed="81"/>
            <rFont val="Segoe UI"/>
            <family val="2"/>
          </rPr>
          <t>Toda a causa envolvendo o método que está sendo executado no trabalho, por exemplo:
1 - Método inadequado;
2 - Falta de padrão;
3 - Método ineficiente.
Diversas podem ser as causas relacionadas aos métodos, analise bem os seus processos para encontrá-las.</t>
        </r>
      </text>
    </comment>
    <comment ref="I8" authorId="0">
      <text>
        <r>
          <rPr>
            <sz val="12"/>
            <color indexed="81"/>
            <rFont val="Segoe UI"/>
            <family val="2"/>
          </rPr>
          <t>Toda causa que envolve uma atitude do colaborador, por exemplo:
1 - Pressa;
2 - Imprudência;
3 - Ato inseguro;
4 - Falta de traeinamento.
Diversas podem ser as causas relacionadas à mão-de-obra, analise bem os seus processos para encontrá-las.</t>
        </r>
      </text>
    </comment>
    <comment ref="D9" authorId="0">
      <text>
        <r>
          <rPr>
            <sz val="12"/>
            <color indexed="81"/>
            <rFont val="Segoe UI"/>
            <family val="2"/>
          </rPr>
          <t>Atribua uma nota de 0 a 10 para esta causa, onde 10 é uma causa com muito impacto no problema e 0 é uma causa sem impacto no problema
Use apenas números inteiros.</t>
        </r>
      </text>
    </comment>
    <comment ref="C17" authorId="0">
      <text>
        <r>
          <rPr>
            <sz val="12"/>
            <color indexed="81"/>
            <rFont val="Segoe UI"/>
            <family val="2"/>
          </rPr>
          <t>Toda causa envolvendo a máquina que está sendo operada, por exemplo:
1 - Equipamento depreciado;
2 - Equipamento inadequado;
3 - Equipamento ineficiente;
4 - Equipamento descalibrado.
Diversas podem ser as causas relacionadas as máquinas e equipamentos, analise bem os seus processos para encontrá-las.</t>
        </r>
      </text>
    </comment>
    <comment ref="F17" authorId="0">
      <text>
        <r>
          <rPr>
            <sz val="12"/>
            <color indexed="81"/>
            <rFont val="Segoe UI"/>
            <family val="2"/>
          </rPr>
          <t>Toda causa que envolve o ambiente de trabalho, por exemplo:
1 - Layout ruim;
2 - Falta de espaço;
3 - Poluição excessiva;
4 - Calor excessivo.
Diversas podem ser as causas relacionadas ao meio ambiente, analise bem os seus processos para encontrá-las.</t>
        </r>
      </text>
    </comment>
    <comment ref="I17" authorId="0">
      <text>
        <r>
          <rPr>
            <sz val="12"/>
            <color indexed="81"/>
            <rFont val="Segoe UI"/>
            <family val="2"/>
          </rPr>
          <t>Toda causa que envolve os instrumentos de medida, a efetividade de indicadores em mostrar as variações de resultado, se o acompanhamento está sendo realizado, se ocorre na frequência necessária, etc., por exemplo:
1 - Fórmula errada;
2 - Controle inexistente ou ineficaz;
3 - Sem controle de qualidade.
Diversas podem ser as causas relacionadas á medida, analise bem os seus processos para encontrá-las.</t>
        </r>
      </text>
    </comment>
  </commentList>
</comments>
</file>

<file path=xl/comments2.xml><?xml version="1.0" encoding="utf-8"?>
<comments xmlns="http://schemas.openxmlformats.org/spreadsheetml/2006/main">
  <authors>
    <author>Leonardo</author>
  </authors>
  <commentList>
    <comment ref="D6" authorId="0">
      <text>
        <r>
          <rPr>
            <sz val="12"/>
            <color indexed="81"/>
            <rFont val="Segoe UI"/>
            <family val="2"/>
          </rPr>
          <t>Selecione as causas definidas no planejamento. Uma lista suspensa será mostrada ao clicar na célula.</t>
        </r>
      </text>
    </comment>
    <comment ref="E6" authorId="0">
      <text>
        <r>
          <rPr>
            <sz val="12"/>
            <color indexed="81"/>
            <rFont val="Segoe UI"/>
            <family val="2"/>
          </rPr>
          <t>Defina um plano de ação para cada causa, por exemplo: para uma causa Custo alto de matéria-prima, relacionada aos materiais, um plano de ação poderia ser a negociação de preços junto ao fornecedor.</t>
        </r>
      </text>
    </comment>
    <comment ref="F6" authorId="0">
      <text>
        <r>
          <rPr>
            <sz val="12"/>
            <color indexed="81"/>
            <rFont val="Segoe UI"/>
            <family val="2"/>
          </rPr>
          <t>Defina um responsável para cada plano de ação. É importante que seja atribuída responsabilidade para que o plano de ação seja executado.</t>
        </r>
      </text>
    </comment>
    <comment ref="G6" authorId="0">
      <text>
        <r>
          <rPr>
            <sz val="12"/>
            <color indexed="81"/>
            <rFont val="Segoe UI"/>
            <family val="2"/>
          </rPr>
          <t>Defina uma data para o início desta ação para que você possa atribuir um prazo e tenha resultados melhores, mais rápidos e mais precisos mantendo um controle do que está sendo realizado.</t>
        </r>
      </text>
    </comment>
    <comment ref="H6" authorId="0">
      <text>
        <r>
          <rPr>
            <sz val="12"/>
            <color indexed="81"/>
            <rFont val="Segoe UI"/>
            <family val="2"/>
          </rPr>
          <t>É importante que você defina prazos para a execução destes planos de ação.
Defina o prazo em dias.</t>
        </r>
      </text>
    </comment>
  </commentList>
</comments>
</file>

<file path=xl/comments3.xml><?xml version="1.0" encoding="utf-8"?>
<comments xmlns="http://schemas.openxmlformats.org/spreadsheetml/2006/main">
  <authors>
    <author>Leonardo</author>
  </authors>
  <commentList>
    <comment ref="F6" authorId="0">
      <text>
        <r>
          <rPr>
            <b/>
            <sz val="11"/>
            <color indexed="81"/>
            <rFont val="Segoe UI"/>
            <family val="2"/>
          </rPr>
          <t xml:space="preserve">
</t>
        </r>
        <r>
          <rPr>
            <sz val="12"/>
            <color indexed="81"/>
            <rFont val="Segoe UI"/>
            <family val="2"/>
          </rPr>
          <t>Informe a data em que o plano de ação foi concluído.</t>
        </r>
      </text>
    </comment>
    <comment ref="H6" authorId="0">
      <text>
        <r>
          <rPr>
            <sz val="12"/>
            <color indexed="81"/>
            <rFont val="Segoe UI"/>
            <family val="2"/>
          </rPr>
          <t xml:space="preserve">
Selecione Sim ou Não.</t>
        </r>
      </text>
    </comment>
    <comment ref="I6" authorId="0">
      <text>
        <r>
          <rPr>
            <b/>
            <sz val="11"/>
            <color indexed="81"/>
            <rFont val="Segoe UI"/>
            <family val="2"/>
          </rPr>
          <t xml:space="preserve">
</t>
        </r>
        <r>
          <rPr>
            <sz val="12"/>
            <color indexed="81"/>
            <rFont val="Segoe UI"/>
            <family val="2"/>
          </rPr>
          <t>Selecione Sim ou Não.</t>
        </r>
      </text>
    </comment>
    <comment ref="J6" authorId="0">
      <text>
        <r>
          <rPr>
            <sz val="12"/>
            <color indexed="81"/>
            <rFont val="Segoe UI"/>
            <family val="2"/>
          </rPr>
          <t>Preencha com observações e lições aprendidas com relação a conformidade e a contribuição da ação executada.</t>
        </r>
      </text>
    </comment>
  </commentList>
</comments>
</file>

<file path=xl/sharedStrings.xml><?xml version="1.0" encoding="utf-8"?>
<sst xmlns="http://schemas.openxmlformats.org/spreadsheetml/2006/main" count="234" uniqueCount="145">
  <si>
    <t>Descrição</t>
  </si>
  <si>
    <t>Nota</t>
  </si>
  <si>
    <t xml:space="preserve">Média </t>
  </si>
  <si>
    <t>Média</t>
  </si>
  <si>
    <t xml:space="preserve">Seu Problema </t>
  </si>
  <si>
    <t>Plano de ação</t>
  </si>
  <si>
    <t>Responsável</t>
  </si>
  <si>
    <t>Início</t>
  </si>
  <si>
    <t>Fim</t>
  </si>
  <si>
    <t>Causa</t>
  </si>
  <si>
    <t>Prazo (dias)</t>
  </si>
  <si>
    <t>Status</t>
  </si>
  <si>
    <t>A ação ocorreu como planejado?</t>
  </si>
  <si>
    <t>Sim</t>
  </si>
  <si>
    <t>Não</t>
  </si>
  <si>
    <t>Concluídos no prazo</t>
  </si>
  <si>
    <t>Concluídos com atraso</t>
  </si>
  <si>
    <t>Causas</t>
  </si>
  <si>
    <t>A ação contribuiu para resolver a causa?</t>
  </si>
  <si>
    <t>Ítem</t>
  </si>
  <si>
    <t>GRÁFICOS</t>
  </si>
  <si>
    <t>ALERTAS E DICAS</t>
  </si>
  <si>
    <t>Esta planilha avaliará todos os dados preenchidos por você e retornará com dicas importantes para sua análise.</t>
  </si>
  <si>
    <t>nota</t>
  </si>
  <si>
    <t>causa</t>
  </si>
  <si>
    <t>Concluído no prazo</t>
  </si>
  <si>
    <t>Concluído com atraso</t>
  </si>
  <si>
    <r>
      <rPr>
        <b/>
        <sz val="36"/>
        <color indexed="8"/>
        <rFont val="Calibri"/>
        <family val="2"/>
      </rPr>
      <t>1.</t>
    </r>
    <r>
      <rPr>
        <sz val="36"/>
        <color indexed="8"/>
        <rFont val="Calibri"/>
        <family val="2"/>
      </rPr>
      <t xml:space="preserve"> Planejamento (Seu Problema)</t>
    </r>
  </si>
  <si>
    <r>
      <rPr>
        <b/>
        <sz val="36"/>
        <color indexed="8"/>
        <rFont val="Calibri"/>
        <family val="2"/>
      </rPr>
      <t>2.</t>
    </r>
    <r>
      <rPr>
        <sz val="36"/>
        <color indexed="8"/>
        <rFont val="Calibri"/>
        <family val="2"/>
      </rPr>
      <t xml:space="preserve"> Execução (Planos de Ação)</t>
    </r>
  </si>
  <si>
    <r>
      <rPr>
        <b/>
        <sz val="36"/>
        <color indexed="8"/>
        <rFont val="Calibri"/>
        <family val="2"/>
      </rPr>
      <t>3.</t>
    </r>
    <r>
      <rPr>
        <sz val="36"/>
        <color indexed="8"/>
        <rFont val="Calibri"/>
        <family val="2"/>
      </rPr>
      <t xml:space="preserve"> Verificação</t>
    </r>
  </si>
  <si>
    <r>
      <rPr>
        <b/>
        <sz val="36"/>
        <color indexed="8"/>
        <rFont val="Calibri"/>
        <family val="2"/>
      </rPr>
      <t>4.</t>
    </r>
    <r>
      <rPr>
        <sz val="36"/>
        <color indexed="8"/>
        <rFont val="Calibri"/>
        <family val="2"/>
      </rPr>
      <t xml:space="preserve"> Alertas e Dicas</t>
    </r>
  </si>
  <si>
    <t>Planos de Ação</t>
  </si>
  <si>
    <t>3. Verificação</t>
  </si>
  <si>
    <t>4. Alertas e Dicas</t>
  </si>
  <si>
    <t>Treinar funcionários</t>
  </si>
  <si>
    <t>Os seus problemas mais relevantes estão relacionados à:</t>
  </si>
  <si>
    <t>A maioria de seus problemas estão relacionados à:</t>
  </si>
  <si>
    <t>Parabéns! A maioria das suas ações foram executadas da maneira que você planejou. Continue com um bom planejamento em todas as ações da sua empresa.</t>
  </si>
  <si>
    <t>Algumas de suas ações resolveram causas dos seus problemas. Porém, ainda há algumas causas a serem resolvidas. Reveja seu planejamento.</t>
  </si>
  <si>
    <t>Seu problema não foi resolvido. Reinicie o Ciclo e defina novos planos de ação.</t>
  </si>
  <si>
    <t>Causas relacionadas aos Materiais</t>
  </si>
  <si>
    <t>Causas relacionadas aos Métodos</t>
  </si>
  <si>
    <t>Causas relacionadas à Mão-de-obra</t>
  </si>
  <si>
    <t>Causas relacionadas ao Meio Ambiente</t>
  </si>
  <si>
    <t>Causas relacionadas à Medida</t>
  </si>
  <si>
    <t>Causas relacionadas às Máquinas ou Equipamentos</t>
  </si>
  <si>
    <t>Observações</t>
  </si>
  <si>
    <t>médias</t>
  </si>
  <si>
    <t>Ranking nota</t>
  </si>
  <si>
    <t>Ranking causa</t>
  </si>
  <si>
    <t>Em andamento</t>
  </si>
  <si>
    <t>Suas Maiores Causas</t>
  </si>
  <si>
    <t>Índices</t>
  </si>
  <si>
    <t>Conclusão</t>
  </si>
  <si>
    <t>Índice de ações concluídas no prazo:</t>
  </si>
  <si>
    <t>Índice de conformidade das ações:</t>
  </si>
  <si>
    <t>Índice de causas resolvidas:</t>
  </si>
  <si>
    <t>O Ciclo PDCA ajudou a resolver o seu problema, continue usando a planilha para transformar o Ciclo PDCA em um processo na sua empresa e continuar obtendo melhorias.</t>
  </si>
  <si>
    <t>Alguns dos seus planos de ação foram executados dentro do prazo. Porém, alguns planos de ação não cumpriram seu prazo. Reveja seu planejamento e verifique os motivos de atraso.</t>
  </si>
  <si>
    <t>Parabéns! A maioria dos seus planos de ação foram concluídos dentro do prazo. Continue com a boa execução em todos os seus planos de ação.</t>
  </si>
  <si>
    <t>A maioria dos seus planos de ação não foram executados dentro do prazo. Isso significa que seu planejamento falhou ou você teve problemas na execução. Reveja seu planejamento e verifique os motivos de atraso.</t>
  </si>
  <si>
    <t>Algumas das suas ações foram executadas da maneira que você planejou. Porém, algumas ações acabaram por não contribuir. Verifique o seu plano de ação.</t>
  </si>
  <si>
    <t>Algumas das suas ações não foram executadas da maneira que você planejou. Verifique o seu plano de ação e identifique o que houve de errado.</t>
  </si>
  <si>
    <t>Parabéns! A maioria de seus planos de ação resolveram causas do seu problema. Continue utilizando o Ciclo PDCA para resolver problemas na sua empresa.</t>
  </si>
  <si>
    <t>Algumas de suas ações não resolveram causas dos seus problemas. Reveja seu planejamento e defina novos planos de ação.</t>
  </si>
  <si>
    <t>PDCA</t>
  </si>
  <si>
    <t>Alto Custo de Produção</t>
  </si>
  <si>
    <t>Excessivo número de ferramentas</t>
  </si>
  <si>
    <t>Ferramentas muito depreciadas</t>
  </si>
  <si>
    <t>Modelo inadequado</t>
  </si>
  <si>
    <t>Funcionários sem treinamento</t>
  </si>
  <si>
    <t>Muitas máquinas paradas</t>
  </si>
  <si>
    <t>Rever necessidade de ferramentas</t>
  </si>
  <si>
    <t>Comprar ferramentas novas</t>
  </si>
  <si>
    <t>João Renato</t>
  </si>
  <si>
    <t>Rever processo</t>
  </si>
  <si>
    <t>Carlos Bretz</t>
  </si>
  <si>
    <t>Filippo Gomez</t>
  </si>
  <si>
    <t>Leonardo Silva</t>
  </si>
  <si>
    <t>Realizar manutenção das máquinas</t>
  </si>
  <si>
    <t>O processo foi agilizado</t>
  </si>
  <si>
    <t>Mais máquinas trabalhando e maior produtividade</t>
  </si>
  <si>
    <t>O método foi totalmente remodelado</t>
  </si>
  <si>
    <t>Ex.: Quantidade Limitada de Materiais</t>
  </si>
  <si>
    <t>Ex.: Método Inexistente</t>
  </si>
  <si>
    <t>Ex.: Funcionários Desqualificados</t>
  </si>
  <si>
    <t>Ex.: Máquinas sujas</t>
  </si>
  <si>
    <t>Ex.: Frio Excessivo</t>
  </si>
  <si>
    <t>Ex.: Inexistencia de Medidores</t>
  </si>
  <si>
    <t>Exemplos</t>
  </si>
  <si>
    <t>Quantidade Limitada de Materiais</t>
  </si>
  <si>
    <t>Comprar Materiais Necessários</t>
  </si>
  <si>
    <t>Agnaldo Rios</t>
  </si>
  <si>
    <t>O atraso ocorreu por conta da lentidão do fornecedor</t>
  </si>
  <si>
    <t>Análise de Causas</t>
  </si>
  <si>
    <t>Seus índices</t>
  </si>
  <si>
    <t>RELATÓRIO</t>
  </si>
  <si>
    <t>DASHBOARD</t>
  </si>
  <si>
    <t>1. Posso adicionar mais linhas e colunas na planilha?</t>
  </si>
  <si>
    <t>5. Como desbloquear a planilha?</t>
  </si>
  <si>
    <t xml:space="preserve">Nós recomendamos fortemente que você utilize a estrutura pronta apresentada, pois existem diversas fórmulas que podem ser afetadas pela adição de linhas e colunas. Além disso, para facilitar o preenchimento mantemos a planilha desbloqueada apenas nos locais para preenchimento. </t>
  </si>
  <si>
    <t>Basta entrar no menu superior "Revisão" e escolher o item desproteger planilha no grupo Alterações. As planilhas não possuem senhas, apenas estão bloqueadas para melhorar a usabilidade delas.</t>
  </si>
  <si>
    <t>2. Posso remover linhas?</t>
  </si>
  <si>
    <t>6. Como redimensiono uma coluna ou linha da planilha?</t>
  </si>
  <si>
    <t>Com a planilha desbloqueada(ver pergunta 5), clique sobre o número da linha com o botão diretiro e escolha a opção altura da linha no caso das linhas ou na letra da coluna com o botão direito e escolha a opção largura da coluna no caso de colunas.</t>
  </si>
  <si>
    <t>3. Para que servem os alertas?</t>
  </si>
  <si>
    <t>7. Como faço para imprimir uma planilha?</t>
  </si>
  <si>
    <t>Eles são avisos sobre como a sua projeção está. A partir deles, você pode refinar suas projeções e pensar em medidas mais agressivas para tornar seu projeto mais agressivo.</t>
  </si>
  <si>
    <t>Escolha Opção Arquivo e vá ao item imprimir no seu menu superior.</t>
  </si>
  <si>
    <t>4. Essa planilha pode ser apresentada para instituições financeiras?</t>
  </si>
  <si>
    <t>8. Como mudo a moeda da planilha?</t>
  </si>
  <si>
    <t>Sim. Porém esses dados não garantem aprovações ou reprovações por parte dessas instituições. Sendo usados como dados complementares.</t>
  </si>
  <si>
    <t>Selecione os campos que deseja mudar a moeda. Clique com o botão direito escolha a opção formatar células. Altere o símbolo para o formato que desejar na guia Número.</t>
  </si>
  <si>
    <t>Priorização e Solução de Problemas</t>
  </si>
  <si>
    <t>Veja mais</t>
  </si>
  <si>
    <t>Plano de Ação 5W2H</t>
  </si>
  <si>
    <t>Ciclo PDCA [Plan, Do, Check e Act.]</t>
  </si>
  <si>
    <t>Matriz GUT</t>
  </si>
  <si>
    <t>SOBRE A SOUZA</t>
  </si>
  <si>
    <t>indice</t>
  </si>
  <si>
    <t>RELATÓRIO DE CICLO PDCA</t>
  </si>
  <si>
    <r>
      <rPr>
        <b/>
        <sz val="12"/>
        <color theme="1" tint="0.249977111117893"/>
        <rFont val="Calibri"/>
        <family val="2"/>
        <scheme val="minor"/>
      </rPr>
      <t>SUAS MAIORES CAUSAS:</t>
    </r>
    <r>
      <rPr>
        <sz val="12"/>
        <color theme="1" tint="0.249977111117893"/>
        <rFont val="Calibri"/>
        <family val="2"/>
        <scheme val="minor"/>
      </rPr>
      <t xml:space="preserve"> Aqui você encontra qual o tipo de causa mais frequente para o seu problema e quais são as causas mais relevantes neste caso.</t>
    </r>
  </si>
  <si>
    <r>
      <rPr>
        <b/>
        <sz val="12"/>
        <color theme="1" tint="0.249977111117893"/>
        <rFont val="Calibri"/>
        <family val="2"/>
        <scheme val="minor"/>
      </rPr>
      <t>ÍNDICES:</t>
    </r>
    <r>
      <rPr>
        <sz val="12"/>
        <color theme="1" tint="0.249977111117893"/>
        <rFont val="Calibri"/>
        <family val="2"/>
        <scheme val="minor"/>
      </rPr>
      <t xml:space="preserve"> Aqui você pode ver os índices que obteve com seus planos de ação.
Índices abaixo de 40% é considerado muito abaixo do esperado e você deve averiguar o que houve de errado.
Índices acima de 85% são considerados índices muito bons. Se você obter um índice acima de 85% pode considerar que teve sucesso em suas ações para cada índice verificado.</t>
    </r>
  </si>
  <si>
    <r>
      <t>CONCLUSÃO:</t>
    </r>
    <r>
      <rPr>
        <sz val="12"/>
        <color theme="1" tint="0.249977111117893"/>
        <rFont val="Calibri"/>
        <family val="2"/>
        <scheme val="minor"/>
      </rPr>
      <t xml:space="preserve"> Aqui você encontra qual o tipo de causa mais frequente para o seu problema e quais são as causas mais relevantes neste caso.</t>
    </r>
  </si>
  <si>
    <r>
      <t xml:space="preserve">Análise de Causas: </t>
    </r>
    <r>
      <rPr>
        <sz val="16"/>
        <color rgb="FF666666"/>
        <rFont val="Calibri"/>
        <family val="2"/>
        <scheme val="minor"/>
      </rPr>
      <t>Analise o ranking de suas causas por bloco de área e veja quais são as causas mais relevantes e as principais.</t>
    </r>
  </si>
  <si>
    <r>
      <t xml:space="preserve">Seus índices: </t>
    </r>
    <r>
      <rPr>
        <sz val="16"/>
        <color rgb="FF666666"/>
        <rFont val="Calibri"/>
        <family val="2"/>
        <scheme val="minor"/>
      </rPr>
      <t>Analise seus índices de ações concluídas, de conformidade e de eficácia.</t>
    </r>
  </si>
  <si>
    <t>ACT(AÇÃO)</t>
  </si>
  <si>
    <t>CHECK (VERIFICAÇÃO)</t>
  </si>
  <si>
    <t>DO (EXECUÇÃO)</t>
  </si>
  <si>
    <t>Causas cadastradas</t>
  </si>
  <si>
    <t>Ações planejadas</t>
  </si>
  <si>
    <t>Ações concluídas com atraso</t>
  </si>
  <si>
    <t>Ações concluídas no prazo</t>
  </si>
  <si>
    <t>Ações em andamento</t>
  </si>
  <si>
    <t>contagem</t>
  </si>
  <si>
    <t>causas</t>
  </si>
  <si>
    <t>PLAN (PLANEJAMENTO)</t>
  </si>
  <si>
    <t>PLANILHA</t>
  </si>
  <si>
    <t>Com a planilha Ciclo PDCA você poderá resolver problemas identificando causas, elaborando planos de ação e controlando a execução das ações.</t>
  </si>
  <si>
    <t>Nesta seção, você irá dar início ao Ciclo PDCA definindo seu problema e suas causas, elaborando planos de ação, verificando o andamento e o sucesso das ações e encontrando um resultado. Plan: defina seu problema principal, você também irá identificar causas do seu problema e atribuir notas para elas. Você irá identificar as principais causas através de um indicador. Do: defina planos de ação para resolver o seu problema definindo também seus responsáveis e prazos. Check: registre se seus planos de ação ocorreram como deveriam e se alcançaram seus objetivos. Act:  gerada automaticamente, esta seção vai te ajudar a tirar conclusões sobre as etapas anteriores e se você conseguiu resolver seu principal problema.</t>
  </si>
  <si>
    <t>ALERTAS</t>
  </si>
  <si>
    <t>Os gráficos são importantes para que sejam feitas avaliações sobre os problemas encontrados e os resultados obtidos na execução. Veja também os gráficos com as principais causas, status, conformidade e eficiência das ações tomadas.</t>
  </si>
  <si>
    <t>Aqui você você encontra um relatório pronto para impressão, formatado em folha A4, com todos os resultados e gráficos do seu estudo.</t>
  </si>
  <si>
    <t>Aqui você encontra um painel com os principais resultados do seu estudo em formato de gráficos.</t>
  </si>
  <si>
    <t>CICLO PDCA - DEMONSTRATIVA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</si>
</sst>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1" x14ac:knownFonts="1">
    <font>
      <sz val="11"/>
      <color theme="1"/>
      <name val="Calibri"/>
      <family val="2"/>
      <scheme val="minor"/>
    </font>
    <font>
      <sz val="10"/>
      <name val="Arial"/>
      <family val="2"/>
    </font>
    <font>
      <b/>
      <sz val="36"/>
      <color indexed="8"/>
      <name val="Calibri"/>
      <family val="2"/>
    </font>
    <font>
      <sz val="36"/>
      <color indexed="8"/>
      <name val="Calibri"/>
      <family val="2"/>
    </font>
    <font>
      <b/>
      <sz val="11"/>
      <color indexed="81"/>
      <name val="Segoe UI"/>
      <family val="2"/>
    </font>
    <font>
      <sz val="11"/>
      <color theme="1"/>
      <name val="Calibri"/>
      <family val="2"/>
      <scheme val="minor"/>
    </font>
    <font>
      <u/>
      <sz val="11"/>
      <color theme="10"/>
      <name val="Calibri"/>
      <family val="2"/>
      <scheme val="minor"/>
    </font>
    <font>
      <sz val="11"/>
      <color theme="0"/>
      <name val="Calibri"/>
      <family val="2"/>
      <scheme val="minor"/>
    </font>
    <font>
      <sz val="12"/>
      <color theme="1"/>
      <name val="Calibri"/>
      <family val="2"/>
      <scheme val="minor"/>
    </font>
    <font>
      <b/>
      <sz val="18"/>
      <color rgb="FF595959"/>
      <name val="Calibri"/>
      <family val="2"/>
      <scheme val="minor"/>
    </font>
    <font>
      <u/>
      <sz val="11"/>
      <color theme="1"/>
      <name val="Calibri"/>
      <family val="2"/>
      <scheme val="minor"/>
    </font>
    <font>
      <b/>
      <sz val="14"/>
      <color theme="0"/>
      <name val="Calibri"/>
      <family val="2"/>
      <scheme val="minor"/>
    </font>
    <font>
      <sz val="11"/>
      <name val="Calibri"/>
      <family val="2"/>
      <scheme val="minor"/>
    </font>
    <font>
      <sz val="10.5"/>
      <color rgb="FF595959"/>
      <name val="Calibri"/>
      <family val="2"/>
      <scheme val="minor"/>
    </font>
    <font>
      <b/>
      <sz val="24"/>
      <color rgb="FF666666"/>
      <name val="Calibri"/>
      <family val="2"/>
      <scheme val="minor"/>
    </font>
    <font>
      <b/>
      <sz val="12"/>
      <color theme="1"/>
      <name val="Calibri"/>
      <family val="2"/>
      <scheme val="minor"/>
    </font>
    <font>
      <sz val="14"/>
      <color theme="1"/>
      <name val="Calibri"/>
      <family val="2"/>
      <scheme val="minor"/>
    </font>
    <font>
      <sz val="36"/>
      <color theme="1"/>
      <name val="Calibri"/>
      <family val="2"/>
      <scheme val="minor"/>
    </font>
    <font>
      <b/>
      <sz val="18"/>
      <name val="Calibri"/>
      <family val="2"/>
      <scheme val="minor"/>
    </font>
    <font>
      <sz val="16"/>
      <color theme="0"/>
      <name val="Calibri"/>
      <family val="2"/>
      <scheme val="minor"/>
    </font>
    <font>
      <sz val="14"/>
      <name val="Calibri"/>
      <family val="2"/>
      <scheme val="minor"/>
    </font>
    <font>
      <sz val="16"/>
      <name val="Calibri"/>
      <family val="2"/>
      <scheme val="minor"/>
    </font>
    <font>
      <sz val="14"/>
      <color theme="0"/>
      <name val="Calibri"/>
      <family val="2"/>
      <scheme val="minor"/>
    </font>
    <font>
      <b/>
      <sz val="16"/>
      <color rgb="FF666666"/>
      <name val="Calibri"/>
      <family val="2"/>
      <scheme val="minor"/>
    </font>
    <font>
      <sz val="12"/>
      <color theme="0"/>
      <name val="Calibri"/>
      <family val="2"/>
      <scheme val="minor"/>
    </font>
    <font>
      <sz val="12"/>
      <name val="Calibri"/>
      <family val="2"/>
      <scheme val="minor"/>
    </font>
    <font>
      <b/>
      <sz val="11"/>
      <name val="Calibri"/>
      <family val="2"/>
      <scheme val="minor"/>
    </font>
    <font>
      <b/>
      <sz val="18"/>
      <color theme="1"/>
      <name val="Calibri"/>
      <family val="2"/>
      <scheme val="minor"/>
    </font>
    <font>
      <sz val="20"/>
      <color theme="1"/>
      <name val="Calibri"/>
      <family val="2"/>
      <scheme val="minor"/>
    </font>
    <font>
      <sz val="18"/>
      <name val="Calibri"/>
      <family val="2"/>
      <scheme val="minor"/>
    </font>
    <font>
      <sz val="18"/>
      <color rgb="FF333333"/>
      <name val="Calibri"/>
      <family val="2"/>
      <scheme val="minor"/>
    </font>
    <font>
      <b/>
      <sz val="11"/>
      <color theme="0"/>
      <name val="Calibri"/>
      <family val="2"/>
      <scheme val="minor"/>
    </font>
    <font>
      <b/>
      <sz val="11"/>
      <color theme="1" tint="0.499984740745262"/>
      <name val="Calibri"/>
      <family val="2"/>
      <scheme val="minor"/>
    </font>
    <font>
      <b/>
      <sz val="11"/>
      <color theme="1" tint="0.34998626667073579"/>
      <name val="Calibri"/>
      <family val="2"/>
      <scheme val="minor"/>
    </font>
    <font>
      <u/>
      <sz val="11"/>
      <name val="Calibri"/>
      <family val="2"/>
      <scheme val="minor"/>
    </font>
    <font>
      <sz val="11"/>
      <color theme="1" tint="0.34998626667073579"/>
      <name val="Calibri"/>
      <family val="2"/>
      <scheme val="minor"/>
    </font>
    <font>
      <b/>
      <sz val="48"/>
      <color theme="1"/>
      <name val="Calibri"/>
      <family val="2"/>
      <scheme val="minor"/>
    </font>
    <font>
      <sz val="12"/>
      <color theme="1" tint="0.34998626667073579"/>
      <name val="Calibri"/>
      <family val="2"/>
      <scheme val="minor"/>
    </font>
    <font>
      <sz val="36"/>
      <color theme="0"/>
      <name val="Calibri"/>
      <family val="2"/>
      <scheme val="minor"/>
    </font>
    <font>
      <sz val="36"/>
      <color theme="0" tint="-0.499984740745262"/>
      <name val="Calibri"/>
      <family val="2"/>
      <scheme val="minor"/>
    </font>
    <font>
      <b/>
      <sz val="18"/>
      <color theme="0"/>
      <name val="Calibri"/>
      <family val="2"/>
      <scheme val="minor"/>
    </font>
    <font>
      <b/>
      <sz val="14"/>
      <name val="Calibri"/>
      <family val="2"/>
      <scheme val="minor"/>
    </font>
    <font>
      <sz val="26"/>
      <color theme="1"/>
      <name val="Calibri"/>
      <family val="2"/>
      <scheme val="minor"/>
    </font>
    <font>
      <b/>
      <sz val="11"/>
      <color theme="1"/>
      <name val="Calibri"/>
      <family val="2"/>
      <scheme val="minor"/>
    </font>
    <font>
      <b/>
      <sz val="12"/>
      <color theme="0"/>
      <name val="Calibri"/>
      <family val="2"/>
      <scheme val="minor"/>
    </font>
    <font>
      <b/>
      <sz val="14"/>
      <color rgb="FF595959"/>
      <name val="Calibri"/>
      <family val="2"/>
      <scheme val="minor"/>
    </font>
    <font>
      <b/>
      <sz val="14"/>
      <color theme="1"/>
      <name val="Calibri"/>
      <family val="2"/>
      <scheme val="minor"/>
    </font>
    <font>
      <b/>
      <sz val="16"/>
      <color rgb="FF595959"/>
      <name val="Calibri"/>
      <family val="2"/>
      <scheme val="minor"/>
    </font>
    <font>
      <sz val="18"/>
      <color theme="1"/>
      <name val="Calibri"/>
      <family val="2"/>
      <scheme val="minor"/>
    </font>
    <font>
      <sz val="16"/>
      <color rgb="FF3366CC"/>
      <name val="Calibri"/>
      <family val="2"/>
      <scheme val="minor"/>
    </font>
    <font>
      <sz val="12"/>
      <color indexed="81"/>
      <name val="Segoe UI"/>
      <family val="2"/>
    </font>
    <font>
      <b/>
      <sz val="18"/>
      <color theme="1" tint="0.34998626667073579"/>
      <name val="Calibri"/>
      <family val="2"/>
      <scheme val="minor"/>
    </font>
    <font>
      <sz val="16"/>
      <color rgb="FF666666"/>
      <name val="Calibri"/>
      <family val="2"/>
      <scheme val="minor"/>
    </font>
    <font>
      <sz val="12"/>
      <color theme="1" tint="0.249977111117893"/>
      <name val="Calibri"/>
      <family val="2"/>
      <scheme val="minor"/>
    </font>
    <font>
      <sz val="48"/>
      <color theme="1"/>
      <name val="Calibri"/>
      <family val="2"/>
      <scheme val="minor"/>
    </font>
    <font>
      <b/>
      <sz val="61"/>
      <color theme="1"/>
      <name val="Calibri"/>
      <family val="2"/>
      <scheme val="minor"/>
    </font>
    <font>
      <b/>
      <sz val="11"/>
      <color rgb="FF666666"/>
      <name val="Calibri"/>
      <family val="2"/>
      <scheme val="minor"/>
    </font>
    <font>
      <b/>
      <sz val="12"/>
      <color theme="1" tint="0.249977111117893"/>
      <name val="Calibri"/>
      <family val="2"/>
      <scheme val="minor"/>
    </font>
    <font>
      <sz val="11"/>
      <color rgb="FF595959"/>
      <name val="Calibri"/>
      <family val="2"/>
      <scheme val="minor"/>
    </font>
    <font>
      <sz val="11"/>
      <color rgb="FFFF0000"/>
      <name val="Calibri"/>
      <family val="2"/>
      <scheme val="minor"/>
    </font>
    <font>
      <b/>
      <sz val="20"/>
      <color theme="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ECF0F1"/>
        <bgColor indexed="64"/>
      </patternFill>
    </fill>
    <fill>
      <patternFill patternType="solid">
        <fgColor theme="4" tint="-0.249977111117893"/>
        <bgColor indexed="64"/>
      </patternFill>
    </fill>
    <fill>
      <patternFill patternType="solid">
        <fgColor rgb="FFEAEAEA"/>
        <bgColor indexed="64"/>
      </patternFill>
    </fill>
    <fill>
      <patternFill patternType="solid">
        <fgColor rgb="FF6A9ED8"/>
        <bgColor indexed="64"/>
      </patternFill>
    </fill>
    <fill>
      <patternFill patternType="solid">
        <fgColor rgb="FF336699"/>
        <bgColor indexed="64"/>
      </patternFill>
    </fill>
    <fill>
      <patternFill patternType="solid">
        <fgColor theme="0"/>
        <bgColor indexed="64"/>
      </patternFill>
    </fill>
    <fill>
      <patternFill patternType="solid">
        <fgColor rgb="FF4F7DBC"/>
        <bgColor indexed="64"/>
      </patternFill>
    </fill>
    <fill>
      <patternFill patternType="solid">
        <fgColor theme="0" tint="-0.14999847407452621"/>
        <bgColor indexed="64"/>
      </patternFill>
    </fill>
    <fill>
      <patternFill patternType="solid">
        <fgColor theme="3"/>
        <bgColor indexed="64"/>
      </patternFill>
    </fill>
    <fill>
      <patternFill patternType="solid">
        <fgColor theme="4"/>
        <bgColor indexed="64"/>
      </patternFill>
    </fill>
    <fill>
      <patternFill patternType="solid">
        <fgColor theme="8"/>
        <bgColor indexed="64"/>
      </patternFill>
    </fill>
    <fill>
      <patternFill patternType="solid">
        <fgColor rgb="FFFFC000"/>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ck">
        <color theme="0"/>
      </left>
      <right/>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style="thick">
        <color theme="0"/>
      </right>
      <top style="thick">
        <color theme="0"/>
      </top>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right/>
      <top style="thick">
        <color theme="0"/>
      </top>
      <bottom style="thin">
        <color theme="0" tint="-0.14993743705557422"/>
      </bottom>
      <diagonal/>
    </border>
    <border>
      <left/>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7">
    <xf numFmtId="0" fontId="0" fillId="0" borderId="0"/>
    <xf numFmtId="0" fontId="6" fillId="0" borderId="0" applyNumberFormat="0" applyFill="0" applyBorder="0" applyAlignment="0" applyProtection="0"/>
    <xf numFmtId="0" fontId="1" fillId="0" borderId="0"/>
    <xf numFmtId="9" fontId="5" fillId="0" borderId="0" applyFont="0" applyFill="0" applyBorder="0" applyAlignment="0" applyProtection="0"/>
    <xf numFmtId="0" fontId="8" fillId="0" borderId="0"/>
    <xf numFmtId="0" fontId="1" fillId="0" borderId="0"/>
    <xf numFmtId="0" fontId="5" fillId="0" borderId="0"/>
  </cellStyleXfs>
  <cellXfs count="270">
    <xf numFmtId="0" fontId="0" fillId="0" borderId="0" xfId="0"/>
    <xf numFmtId="0" fontId="28" fillId="2" borderId="0" xfId="0" applyFont="1" applyFill="1" applyBorder="1" applyAlignment="1" applyProtection="1">
      <alignment horizontal="center" vertical="center" wrapText="1"/>
      <protection locked="0"/>
    </xf>
    <xf numFmtId="0" fontId="12" fillId="0" borderId="12" xfId="0" applyFont="1" applyBorder="1" applyAlignment="1" applyProtection="1">
      <alignment horizontal="center" vertical="center"/>
      <protection locked="0"/>
    </xf>
    <xf numFmtId="14" fontId="12" fillId="0" borderId="12" xfId="0" applyNumberFormat="1" applyFont="1" applyBorder="1" applyAlignment="1" applyProtection="1">
      <alignment horizontal="center" vertical="center"/>
      <protection locked="0"/>
    </xf>
    <xf numFmtId="0" fontId="12" fillId="0" borderId="13" xfId="0" applyFont="1" applyBorder="1" applyAlignment="1" applyProtection="1">
      <alignment horizontal="left" vertical="center" indent="1"/>
      <protection locked="0"/>
    </xf>
    <xf numFmtId="0" fontId="12" fillId="0" borderId="14" xfId="0" applyFont="1" applyBorder="1" applyAlignment="1" applyProtection="1">
      <alignment horizontal="left" vertical="center" indent="1"/>
      <protection locked="0"/>
    </xf>
    <xf numFmtId="0" fontId="12" fillId="0" borderId="12" xfId="0" applyFont="1" applyBorder="1" applyAlignment="1" applyProtection="1">
      <alignment horizontal="left" vertical="center" indent="1"/>
      <protection locked="0"/>
    </xf>
    <xf numFmtId="0" fontId="8" fillId="0" borderId="21" xfId="0" applyFont="1" applyBorder="1" applyAlignment="1" applyProtection="1">
      <alignment horizontal="center" vertical="center" wrapText="1"/>
      <protection locked="0"/>
    </xf>
    <xf numFmtId="14" fontId="8" fillId="0" borderId="21" xfId="0" applyNumberFormat="1" applyFont="1" applyBorder="1" applyAlignment="1" applyProtection="1">
      <alignment horizontal="center" vertical="center" wrapText="1"/>
      <protection locked="0"/>
    </xf>
    <xf numFmtId="14" fontId="8" fillId="0" borderId="21" xfId="0" applyNumberFormat="1" applyFont="1" applyFill="1" applyBorder="1" applyAlignment="1" applyProtection="1">
      <alignment horizontal="left" vertical="center" wrapText="1" indent="1"/>
      <protection locked="0"/>
    </xf>
    <xf numFmtId="14" fontId="0" fillId="0" borderId="21" xfId="0" applyNumberFormat="1" applyFont="1" applyFill="1" applyBorder="1" applyAlignment="1" applyProtection="1">
      <alignment horizontal="center" vertical="center" wrapText="1"/>
      <protection locked="0"/>
    </xf>
    <xf numFmtId="0" fontId="1" fillId="0" borderId="0" xfId="5" applyFont="1" applyFill="1" applyBorder="1" applyAlignment="1" applyProtection="1">
      <protection hidden="1"/>
    </xf>
    <xf numFmtId="0" fontId="12" fillId="0" borderId="0" xfId="5" applyFont="1" applyFill="1" applyBorder="1" applyAlignment="1" applyProtection="1">
      <alignment horizontal="left" vertical="center"/>
      <protection hidden="1"/>
    </xf>
    <xf numFmtId="0" fontId="7" fillId="0" borderId="0" xfId="5" applyFont="1" applyFill="1" applyBorder="1" applyAlignment="1" applyProtection="1">
      <alignment horizontal="center" vertical="center"/>
      <protection hidden="1"/>
    </xf>
    <xf numFmtId="0" fontId="8" fillId="11" borderId="0" xfId="4" applyFill="1" applyProtection="1">
      <protection hidden="1"/>
    </xf>
    <xf numFmtId="0" fontId="24" fillId="11" borderId="0" xfId="4" applyFont="1" applyFill="1" applyProtection="1">
      <protection hidden="1"/>
    </xf>
    <xf numFmtId="0" fontId="8" fillId="12" borderId="0" xfId="4" applyFill="1" applyProtection="1">
      <protection hidden="1"/>
    </xf>
    <xf numFmtId="0" fontId="24" fillId="12" borderId="0" xfId="4" applyFont="1" applyFill="1" applyProtection="1">
      <protection hidden="1"/>
    </xf>
    <xf numFmtId="0" fontId="8" fillId="8" borderId="0" xfId="4" applyFill="1" applyProtection="1">
      <protection hidden="1"/>
    </xf>
    <xf numFmtId="0" fontId="24" fillId="8" borderId="0" xfId="4" applyFont="1" applyFill="1" applyProtection="1">
      <protection hidden="1"/>
    </xf>
    <xf numFmtId="0" fontId="12" fillId="0" borderId="0" xfId="0" applyFont="1" applyFill="1" applyProtection="1">
      <protection hidden="1"/>
    </xf>
    <xf numFmtId="0" fontId="12" fillId="0" borderId="0" xfId="0" applyFont="1" applyProtection="1">
      <protection hidden="1"/>
    </xf>
    <xf numFmtId="0" fontId="29" fillId="0" borderId="0" xfId="0" applyFont="1" applyFill="1" applyAlignment="1" applyProtection="1">
      <alignment vertical="top"/>
      <protection hidden="1"/>
    </xf>
    <xf numFmtId="0" fontId="7" fillId="0" borderId="0" xfId="0" applyFont="1" applyProtection="1">
      <protection hidden="1"/>
    </xf>
    <xf numFmtId="0" fontId="7" fillId="0" borderId="0" xfId="0" applyFont="1" applyBorder="1" applyProtection="1">
      <protection hidden="1"/>
    </xf>
    <xf numFmtId="0" fontId="59" fillId="0" borderId="0" xfId="0" applyFont="1" applyBorder="1" applyProtection="1">
      <protection hidden="1"/>
    </xf>
    <xf numFmtId="0" fontId="59" fillId="0" borderId="0" xfId="0" applyFont="1" applyProtection="1">
      <protection hidden="1"/>
    </xf>
    <xf numFmtId="0" fontId="7" fillId="0" borderId="0" xfId="0" applyFont="1" applyFill="1" applyBorder="1" applyProtection="1">
      <protection hidden="1"/>
    </xf>
    <xf numFmtId="0" fontId="21" fillId="0" borderId="0" xfId="0" applyFont="1" applyFill="1" applyBorder="1" applyAlignment="1" applyProtection="1">
      <alignment vertical="center"/>
      <protection hidden="1"/>
    </xf>
    <xf numFmtId="0" fontId="59" fillId="0" borderId="0" xfId="0" applyFont="1" applyFill="1" applyBorder="1" applyProtection="1">
      <protection hidden="1"/>
    </xf>
    <xf numFmtId="0" fontId="59" fillId="0" borderId="0" xfId="0" applyFont="1" applyFill="1" applyProtection="1">
      <protection hidden="1"/>
    </xf>
    <xf numFmtId="0" fontId="7" fillId="0" borderId="0" xfId="0" applyFont="1" applyFill="1" applyProtection="1">
      <protection hidden="1"/>
    </xf>
    <xf numFmtId="0" fontId="20" fillId="14" borderId="29" xfId="0" applyFont="1" applyFill="1" applyBorder="1" applyAlignment="1" applyProtection="1">
      <alignment horizontal="right" vertical="center" indent="1"/>
      <protection hidden="1"/>
    </xf>
    <xf numFmtId="0" fontId="18" fillId="0" borderId="0" xfId="0" applyFont="1" applyFill="1" applyAlignment="1" applyProtection="1">
      <alignment vertical="center"/>
      <protection hidden="1"/>
    </xf>
    <xf numFmtId="0" fontId="12" fillId="0" borderId="0" xfId="0" applyFont="1" applyFill="1" applyAlignment="1" applyProtection="1">
      <protection hidden="1"/>
    </xf>
    <xf numFmtId="0" fontId="40" fillId="0" borderId="0" xfId="0" applyFont="1" applyFill="1" applyBorder="1" applyAlignment="1" applyProtection="1">
      <alignment vertical="center"/>
      <protection hidden="1"/>
    </xf>
    <xf numFmtId="0" fontId="12" fillId="0" borderId="0" xfId="0" applyFont="1" applyAlignment="1" applyProtection="1">
      <alignment horizontal="left" indent="1"/>
      <protection hidden="1"/>
    </xf>
    <xf numFmtId="0" fontId="7" fillId="0" borderId="0" xfId="0" applyFont="1" applyBorder="1" applyAlignment="1" applyProtection="1">
      <alignment horizontal="center" vertical="center"/>
      <protection hidden="1"/>
    </xf>
    <xf numFmtId="0" fontId="7" fillId="0" borderId="0" xfId="0" applyFont="1" applyFill="1" applyBorder="1" applyAlignment="1" applyProtection="1">
      <alignment horizontal="left" vertical="center"/>
      <protection hidden="1"/>
    </xf>
    <xf numFmtId="0" fontId="31" fillId="6" borderId="15" xfId="0" applyFont="1" applyFill="1" applyBorder="1" applyAlignment="1" applyProtection="1">
      <alignment horizontal="left" vertical="center" indent="1"/>
      <protection hidden="1"/>
    </xf>
    <xf numFmtId="0" fontId="26" fillId="0" borderId="0" xfId="0" applyFont="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1" fontId="7" fillId="0" borderId="0" xfId="0" applyNumberFormat="1" applyFont="1" applyFill="1" applyBorder="1" applyAlignment="1" applyProtection="1">
      <alignment horizontal="left" vertical="center"/>
      <protection hidden="1"/>
    </xf>
    <xf numFmtId="1" fontId="7" fillId="0" borderId="0" xfId="0" applyNumberFormat="1" applyFont="1" applyFill="1" applyBorder="1" applyProtection="1">
      <protection hidden="1"/>
    </xf>
    <xf numFmtId="164" fontId="7" fillId="0" borderId="0" xfId="0" applyNumberFormat="1" applyFont="1" applyBorder="1" applyProtection="1">
      <protection hidden="1"/>
    </xf>
    <xf numFmtId="1" fontId="7" fillId="0" borderId="0" xfId="0" applyNumberFormat="1" applyFont="1" applyBorder="1" applyProtection="1">
      <protection hidden="1"/>
    </xf>
    <xf numFmtId="0" fontId="7" fillId="0" borderId="0" xfId="0" applyNumberFormat="1" applyFont="1" applyBorder="1" applyProtection="1">
      <protection hidden="1"/>
    </xf>
    <xf numFmtId="1" fontId="7" fillId="0" borderId="0" xfId="0" applyNumberFormat="1" applyFont="1" applyAlignment="1" applyProtection="1">
      <alignment horizontal="center" vertical="center"/>
      <protection hidden="1"/>
    </xf>
    <xf numFmtId="0" fontId="12" fillId="0" borderId="0" xfId="0" applyFont="1" applyFill="1" applyAlignment="1" applyProtection="1">
      <alignment vertical="center"/>
      <protection hidden="1"/>
    </xf>
    <xf numFmtId="164" fontId="7" fillId="0" borderId="0" xfId="0" applyNumberFormat="1" applyFont="1" applyBorder="1" applyAlignment="1" applyProtection="1">
      <alignment vertical="center"/>
      <protection hidden="1"/>
    </xf>
    <xf numFmtId="0" fontId="7" fillId="0" borderId="0" xfId="0" applyFont="1" applyBorder="1" applyAlignment="1" applyProtection="1">
      <alignment vertical="center"/>
      <protection hidden="1"/>
    </xf>
    <xf numFmtId="0" fontId="12" fillId="0" borderId="0" xfId="0" applyFont="1" applyAlignment="1" applyProtection="1">
      <alignment vertical="center"/>
      <protection hidden="1"/>
    </xf>
    <xf numFmtId="0" fontId="59" fillId="0" borderId="0" xfId="0" applyFont="1" applyBorder="1" applyAlignment="1" applyProtection="1">
      <alignment vertical="center"/>
      <protection hidden="1"/>
    </xf>
    <xf numFmtId="0" fontId="59" fillId="0" borderId="0" xfId="0" applyFont="1" applyAlignment="1" applyProtection="1">
      <alignment vertical="center"/>
      <protection hidden="1"/>
    </xf>
    <xf numFmtId="0" fontId="7" fillId="0" borderId="0" xfId="0" applyFont="1" applyAlignment="1" applyProtection="1">
      <alignment vertical="center"/>
      <protection hidden="1"/>
    </xf>
    <xf numFmtId="0" fontId="33" fillId="5" borderId="15" xfId="0" applyFont="1" applyFill="1" applyBorder="1" applyAlignment="1" applyProtection="1">
      <alignment horizontal="left" vertical="center" indent="1"/>
      <protection hidden="1"/>
    </xf>
    <xf numFmtId="164" fontId="33" fillId="5" borderId="15" xfId="0" applyNumberFormat="1" applyFont="1" applyFill="1" applyBorder="1" applyAlignment="1" applyProtection="1">
      <alignment horizontal="left" vertical="center" indent="1"/>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left" vertical="center" indent="1"/>
      <protection hidden="1"/>
    </xf>
    <xf numFmtId="0" fontId="31" fillId="0" borderId="0" xfId="0" applyFont="1" applyAlignment="1" applyProtection="1">
      <alignment horizontal="center" vertical="center"/>
      <protection hidden="1"/>
    </xf>
    <xf numFmtId="1" fontId="7" fillId="0" borderId="0" xfId="0" applyNumberFormat="1" applyFont="1" applyProtection="1">
      <protection hidden="1"/>
    </xf>
    <xf numFmtId="0" fontId="12"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0" fillId="0" borderId="0" xfId="0" applyFill="1" applyProtection="1">
      <protection hidden="1"/>
    </xf>
    <xf numFmtId="0" fontId="30" fillId="0" borderId="0" xfId="0" applyFont="1" applyFill="1" applyAlignment="1" applyProtection="1">
      <alignment vertical="top"/>
      <protection hidden="1"/>
    </xf>
    <xf numFmtId="0" fontId="16" fillId="0" borderId="0" xfId="0" applyFont="1" applyFill="1" applyAlignment="1" applyProtection="1">
      <alignment horizontal="left" vertical="center"/>
      <protection hidden="1"/>
    </xf>
    <xf numFmtId="0" fontId="16" fillId="0" borderId="0" xfId="0" applyFont="1" applyFill="1" applyAlignment="1" applyProtection="1">
      <alignment horizontal="left" vertical="center" wrapText="1"/>
      <protection hidden="1"/>
    </xf>
    <xf numFmtId="0" fontId="22" fillId="0" borderId="0" xfId="0" applyFont="1" applyFill="1" applyAlignment="1" applyProtection="1">
      <alignment horizontal="left" vertical="center" wrapText="1"/>
      <protection hidden="1"/>
    </xf>
    <xf numFmtId="0" fontId="20" fillId="0" borderId="0" xfId="0" applyFont="1" applyFill="1" applyAlignment="1" applyProtection="1">
      <alignment horizontal="left" vertical="center" wrapText="1"/>
      <protection hidden="1"/>
    </xf>
    <xf numFmtId="0" fontId="31" fillId="7" borderId="16" xfId="0" applyFont="1" applyFill="1" applyBorder="1" applyAlignment="1" applyProtection="1">
      <alignment horizontal="center" vertical="center"/>
      <protection hidden="1"/>
    </xf>
    <xf numFmtId="0" fontId="31" fillId="7" borderId="16" xfId="0" applyFont="1" applyFill="1" applyBorder="1" applyAlignment="1" applyProtection="1">
      <alignment horizontal="left" vertical="center" indent="1"/>
      <protection hidden="1"/>
    </xf>
    <xf numFmtId="0" fontId="0" fillId="0" borderId="0" xfId="0" applyProtection="1">
      <protection hidden="1"/>
    </xf>
    <xf numFmtId="0" fontId="32" fillId="5" borderId="15" xfId="0" applyFont="1" applyFill="1" applyBorder="1" applyAlignment="1" applyProtection="1">
      <alignment horizontal="center" vertical="center"/>
      <protection hidden="1"/>
    </xf>
    <xf numFmtId="0" fontId="32" fillId="5" borderId="15" xfId="0" applyFont="1" applyFill="1" applyBorder="1" applyAlignment="1" applyProtection="1">
      <alignment horizontal="left" vertical="center" indent="1"/>
      <protection hidden="1"/>
    </xf>
    <xf numFmtId="0" fontId="32" fillId="5" borderId="17" xfId="0" applyFont="1" applyFill="1" applyBorder="1" applyAlignment="1" applyProtection="1">
      <alignment horizontal="left" vertical="center" indent="1"/>
      <protection hidden="1"/>
    </xf>
    <xf numFmtId="14" fontId="32" fillId="5" borderId="17" xfId="0" applyNumberFormat="1" applyFont="1" applyFill="1" applyBorder="1" applyAlignment="1" applyProtection="1">
      <alignment horizontal="center" vertical="center"/>
      <protection hidden="1"/>
    </xf>
    <xf numFmtId="0" fontId="32" fillId="5" borderId="17" xfId="0" applyFont="1" applyFill="1" applyBorder="1" applyAlignment="1" applyProtection="1">
      <alignment horizontal="center" vertical="center"/>
      <protection hidden="1"/>
    </xf>
    <xf numFmtId="0" fontId="33" fillId="5" borderId="16" xfId="0" applyFont="1" applyFill="1" applyBorder="1" applyAlignment="1" applyProtection="1">
      <alignment horizontal="center" vertical="center"/>
      <protection hidden="1"/>
    </xf>
    <xf numFmtId="0" fontId="0" fillId="0" borderId="0" xfId="0" applyFill="1" applyAlignment="1" applyProtection="1">
      <alignment vertical="center"/>
      <protection hidden="1"/>
    </xf>
    <xf numFmtId="0" fontId="0" fillId="0" borderId="0" xfId="0" applyAlignment="1" applyProtection="1">
      <alignment vertical="center"/>
      <protection hidden="1"/>
    </xf>
    <xf numFmtId="0" fontId="7" fillId="8" borderId="0" xfId="0" applyFont="1" applyFill="1" applyProtection="1">
      <protection hidden="1"/>
    </xf>
    <xf numFmtId="0" fontId="12" fillId="8" borderId="0" xfId="0" applyFont="1" applyFill="1" applyProtection="1">
      <protection hidden="1"/>
    </xf>
    <xf numFmtId="0" fontId="0" fillId="8" borderId="0" xfId="0" applyFill="1" applyProtection="1">
      <protection hidden="1"/>
    </xf>
    <xf numFmtId="0" fontId="0" fillId="0" borderId="0" xfId="0" applyFill="1" applyAlignment="1" applyProtection="1">
      <protection hidden="1"/>
    </xf>
    <xf numFmtId="0" fontId="22" fillId="0" borderId="0" xfId="0" applyFont="1" applyFill="1" applyAlignment="1" applyProtection="1">
      <alignment horizontal="left" vertical="center"/>
      <protection hidden="1"/>
    </xf>
    <xf numFmtId="0" fontId="7" fillId="0" borderId="0" xfId="0" applyFont="1" applyFill="1" applyAlignment="1" applyProtection="1">
      <protection hidden="1"/>
    </xf>
    <xf numFmtId="0" fontId="31" fillId="7" borderId="16" xfId="0" applyFont="1" applyFill="1" applyBorder="1" applyAlignment="1" applyProtection="1">
      <alignment horizontal="center" vertical="center" wrapText="1"/>
      <protection hidden="1"/>
    </xf>
    <xf numFmtId="0" fontId="32" fillId="5" borderId="16" xfId="0" applyFont="1" applyFill="1" applyBorder="1" applyAlignment="1" applyProtection="1">
      <alignment horizontal="left" vertical="center" indent="1"/>
      <protection hidden="1"/>
    </xf>
    <xf numFmtId="14" fontId="32" fillId="5" borderId="15" xfId="0" applyNumberFormat="1" applyFont="1" applyFill="1" applyBorder="1" applyAlignment="1" applyProtection="1">
      <alignment horizontal="center" vertical="center"/>
      <protection hidden="1"/>
    </xf>
    <xf numFmtId="14" fontId="32" fillId="5" borderId="20" xfId="0" applyNumberFormat="1" applyFont="1" applyFill="1" applyBorder="1" applyAlignment="1" applyProtection="1">
      <alignment horizontal="center" vertical="center"/>
      <protection hidden="1"/>
    </xf>
    <xf numFmtId="0" fontId="32" fillId="5" borderId="16" xfId="0" applyFont="1" applyFill="1" applyBorder="1" applyAlignment="1" applyProtection="1">
      <alignment horizontal="center" vertical="center"/>
      <protection hidden="1"/>
    </xf>
    <xf numFmtId="0" fontId="32" fillId="5" borderId="20" xfId="0" applyFont="1" applyFill="1" applyBorder="1" applyAlignment="1" applyProtection="1">
      <alignment horizontal="left" vertical="center" wrapText="1" indent="1"/>
      <protection hidden="1"/>
    </xf>
    <xf numFmtId="0" fontId="35" fillId="5" borderId="16" xfId="0" applyFont="1" applyFill="1" applyBorder="1" applyAlignment="1" applyProtection="1">
      <alignment horizontal="left" vertical="center" indent="1"/>
      <protection hidden="1"/>
    </xf>
    <xf numFmtId="14" fontId="35" fillId="5" borderId="16" xfId="0" applyNumberFormat="1" applyFont="1" applyFill="1" applyBorder="1" applyAlignment="1" applyProtection="1">
      <alignment horizontal="center" vertical="center"/>
      <protection hidden="1"/>
    </xf>
    <xf numFmtId="0" fontId="8" fillId="0" borderId="22" xfId="0" applyFont="1" applyFill="1" applyBorder="1" applyAlignment="1" applyProtection="1">
      <alignment horizontal="center" vertical="center" wrapText="1"/>
      <protection hidden="1"/>
    </xf>
    <xf numFmtId="0" fontId="9" fillId="0" borderId="0" xfId="0" applyFont="1" applyAlignment="1" applyProtection="1">
      <alignment vertical="center"/>
      <protection hidden="1"/>
    </xf>
    <xf numFmtId="0" fontId="8" fillId="0" borderId="23" xfId="0" applyFont="1" applyFill="1" applyBorder="1" applyAlignment="1" applyProtection="1">
      <alignment horizontal="center" vertical="center" wrapText="1"/>
      <protection hidden="1"/>
    </xf>
    <xf numFmtId="9" fontId="7" fillId="0" borderId="0" xfId="3" applyFont="1" applyProtection="1">
      <protection hidden="1"/>
    </xf>
    <xf numFmtId="14" fontId="35" fillId="5" borderId="19" xfId="0" applyNumberFormat="1" applyFont="1" applyFill="1" applyBorder="1" applyAlignment="1" applyProtection="1">
      <alignment horizontal="center" vertical="center"/>
      <protection hidden="1"/>
    </xf>
    <xf numFmtId="0" fontId="0" fillId="0" borderId="0" xfId="0" applyFont="1" applyProtection="1">
      <protection hidden="1"/>
    </xf>
    <xf numFmtId="0" fontId="0" fillId="0" borderId="0" xfId="0" applyFont="1" applyFill="1" applyProtection="1">
      <protection hidden="1"/>
    </xf>
    <xf numFmtId="0" fontId="10" fillId="0" borderId="0" xfId="0" applyFont="1" applyFill="1" applyProtection="1">
      <protection hidden="1"/>
    </xf>
    <xf numFmtId="0" fontId="60" fillId="4" borderId="0" xfId="0" applyFont="1" applyFill="1" applyBorder="1" applyAlignment="1" applyProtection="1">
      <alignment horizontal="center" vertical="center" wrapText="1"/>
      <protection hidden="1"/>
    </xf>
    <xf numFmtId="0" fontId="29" fillId="0" borderId="0" xfId="0" applyFont="1" applyFill="1" applyAlignment="1" applyProtection="1">
      <alignment vertical="center"/>
      <protection hidden="1"/>
    </xf>
    <xf numFmtId="0" fontId="0" fillId="0" borderId="0" xfId="0" applyFill="1" applyBorder="1" applyProtection="1">
      <protection hidden="1"/>
    </xf>
    <xf numFmtId="0" fontId="12" fillId="0" borderId="0" xfId="0" applyFont="1" applyFill="1" applyBorder="1" applyProtection="1">
      <protection hidden="1"/>
    </xf>
    <xf numFmtId="0" fontId="12" fillId="0" borderId="0" xfId="0" applyFont="1" applyBorder="1" applyProtection="1">
      <protection hidden="1"/>
    </xf>
    <xf numFmtId="0" fontId="23" fillId="0" borderId="0" xfId="0" applyNumberFormat="1" applyFont="1" applyFill="1" applyBorder="1" applyAlignment="1" applyProtection="1">
      <alignment vertical="center"/>
      <protection hidden="1"/>
    </xf>
    <xf numFmtId="0" fontId="22" fillId="0" borderId="0" xfId="0" applyFont="1" applyFill="1" applyBorder="1" applyAlignment="1" applyProtection="1">
      <alignment vertical="center" wrapText="1"/>
      <protection hidden="1"/>
    </xf>
    <xf numFmtId="0" fontId="24" fillId="0" borderId="0" xfId="0" applyFont="1" applyFill="1" applyBorder="1" applyAlignment="1" applyProtection="1">
      <alignment vertical="center" wrapText="1"/>
      <protection hidden="1"/>
    </xf>
    <xf numFmtId="0" fontId="25" fillId="0" borderId="0" xfId="0" applyFont="1" applyFill="1" applyBorder="1" applyAlignment="1" applyProtection="1">
      <alignment vertical="center" wrapText="1"/>
      <protection hidden="1"/>
    </xf>
    <xf numFmtId="0" fontId="20" fillId="0" borderId="0" xfId="0" applyFont="1" applyFill="1" applyBorder="1" applyAlignment="1" applyProtection="1">
      <alignment vertical="center" wrapText="1"/>
      <protection hidden="1"/>
    </xf>
    <xf numFmtId="0" fontId="24" fillId="0" borderId="0" xfId="0" applyFont="1" applyFill="1" applyBorder="1" applyAlignment="1" applyProtection="1">
      <alignment vertical="center"/>
      <protection hidden="1"/>
    </xf>
    <xf numFmtId="0" fontId="19" fillId="0" borderId="0" xfId="0" applyNumberFormat="1" applyFont="1" applyFill="1" applyBorder="1" applyAlignment="1" applyProtection="1">
      <alignment vertical="center" wrapText="1"/>
      <protection hidden="1"/>
    </xf>
    <xf numFmtId="0" fontId="19" fillId="0" borderId="0" xfId="0" applyNumberFormat="1" applyFont="1" applyFill="1" applyBorder="1" applyAlignment="1" applyProtection="1">
      <alignment wrapText="1"/>
      <protection hidden="1"/>
    </xf>
    <xf numFmtId="0" fontId="12" fillId="0" borderId="0" xfId="0" applyFont="1" applyBorder="1" applyAlignment="1" applyProtection="1">
      <alignment vertical="center"/>
      <protection hidden="1"/>
    </xf>
    <xf numFmtId="0" fontId="21" fillId="0" borderId="0" xfId="0" applyNumberFormat="1" applyFont="1" applyFill="1" applyBorder="1" applyAlignment="1" applyProtection="1">
      <alignment vertical="center" wrapText="1"/>
      <protection hidden="1"/>
    </xf>
    <xf numFmtId="0" fontId="21" fillId="0" borderId="0" xfId="0" applyNumberFormat="1" applyFont="1" applyFill="1" applyBorder="1" applyAlignment="1" applyProtection="1">
      <alignment wrapText="1"/>
      <protection hidden="1"/>
    </xf>
    <xf numFmtId="0" fontId="19" fillId="0" borderId="0" xfId="0" applyFont="1" applyFill="1" applyBorder="1" applyAlignment="1" applyProtection="1">
      <alignment vertical="center" wrapText="1"/>
      <protection hidden="1"/>
    </xf>
    <xf numFmtId="0" fontId="26" fillId="0" borderId="0" xfId="0" applyFont="1" applyFill="1" applyProtection="1">
      <protection hidden="1"/>
    </xf>
    <xf numFmtId="0" fontId="26" fillId="0" borderId="0" xfId="0" applyFont="1" applyProtection="1">
      <protection hidden="1"/>
    </xf>
    <xf numFmtId="0" fontId="26" fillId="0" borderId="0" xfId="0" applyFont="1" applyBorder="1" applyProtection="1">
      <protection hidden="1"/>
    </xf>
    <xf numFmtId="0" fontId="18" fillId="0" borderId="0" xfId="0" applyFont="1" applyAlignment="1" applyProtection="1">
      <alignment vertical="center"/>
      <protection hidden="1"/>
    </xf>
    <xf numFmtId="0" fontId="30" fillId="0" borderId="0" xfId="0" applyFont="1" applyFill="1" applyAlignment="1" applyProtection="1">
      <alignment horizontal="left" vertical="center"/>
      <protection hidden="1"/>
    </xf>
    <xf numFmtId="0" fontId="39" fillId="0" borderId="0" xfId="0" applyFont="1" applyAlignment="1" applyProtection="1">
      <alignment vertical="top"/>
      <protection hidden="1"/>
    </xf>
    <xf numFmtId="0" fontId="0" fillId="0" borderId="0" xfId="0" applyBorder="1" applyProtection="1">
      <protection hidden="1"/>
    </xf>
    <xf numFmtId="0" fontId="54" fillId="0" borderId="0" xfId="0" applyFont="1" applyFill="1" applyAlignment="1" applyProtection="1">
      <alignment horizontal="center" vertical="center" wrapText="1"/>
      <protection hidden="1"/>
    </xf>
    <xf numFmtId="0" fontId="54" fillId="0" borderId="0" xfId="0" applyFont="1" applyBorder="1" applyAlignment="1" applyProtection="1">
      <alignment horizontal="center" vertical="center" wrapText="1"/>
      <protection hidden="1"/>
    </xf>
    <xf numFmtId="0" fontId="54" fillId="0" borderId="0" xfId="0" applyFont="1" applyAlignment="1" applyProtection="1">
      <alignment horizontal="center" vertical="center" wrapText="1"/>
      <protection hidden="1"/>
    </xf>
    <xf numFmtId="0" fontId="0" fillId="0" borderId="0" xfId="0" applyBorder="1" applyAlignment="1" applyProtection="1">
      <alignment vertical="center"/>
      <protection hidden="1"/>
    </xf>
    <xf numFmtId="0" fontId="17" fillId="0" borderId="0" xfId="0" applyFont="1" applyBorder="1" applyAlignment="1" applyProtection="1">
      <alignment vertical="center"/>
      <protection hidden="1"/>
    </xf>
    <xf numFmtId="0" fontId="3" fillId="0" borderId="0" xfId="0" applyFont="1" applyBorder="1" applyAlignment="1" applyProtection="1">
      <alignment vertical="center"/>
      <protection hidden="1"/>
    </xf>
    <xf numFmtId="0" fontId="14" fillId="0" borderId="4" xfId="0" applyNumberFormat="1" applyFont="1" applyFill="1" applyBorder="1" applyAlignment="1" applyProtection="1">
      <alignment horizontal="left" vertical="center" indent="1"/>
      <protection hidden="1"/>
    </xf>
    <xf numFmtId="0" fontId="0" fillId="0" borderId="5" xfId="0" applyBorder="1" applyProtection="1">
      <protection hidden="1"/>
    </xf>
    <xf numFmtId="0" fontId="0" fillId="0" borderId="6" xfId="0" applyBorder="1" applyProtection="1">
      <protection hidden="1"/>
    </xf>
    <xf numFmtId="0" fontId="15" fillId="3" borderId="8" xfId="0" applyFont="1" applyFill="1" applyBorder="1" applyAlignment="1" applyProtection="1">
      <alignment horizontal="left" vertical="center" indent="1"/>
      <protection hidden="1"/>
    </xf>
    <xf numFmtId="0" fontId="15" fillId="3" borderId="0" xfId="0" applyFont="1" applyFill="1" applyBorder="1" applyAlignment="1" applyProtection="1">
      <alignment horizontal="left" vertical="center" indent="1"/>
      <protection hidden="1"/>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top" wrapText="1" indent="1"/>
      <protection hidden="1"/>
    </xf>
    <xf numFmtId="0" fontId="8" fillId="3" borderId="0" xfId="0" applyFont="1" applyFill="1" applyBorder="1" applyAlignment="1" applyProtection="1">
      <alignment horizontal="left" vertical="top" wrapText="1" indent="1"/>
      <protection hidden="1"/>
    </xf>
    <xf numFmtId="14" fontId="8" fillId="3" borderId="0" xfId="0" applyNumberFormat="1" applyFont="1" applyFill="1" applyBorder="1" applyAlignment="1" applyProtection="1">
      <alignment horizontal="left" vertical="top" wrapText="1" indent="1"/>
      <protection hidden="1"/>
    </xf>
    <xf numFmtId="0" fontId="8" fillId="3" borderId="0" xfId="0" applyNumberFormat="1" applyFont="1" applyFill="1" applyBorder="1" applyAlignment="1" applyProtection="1">
      <alignment horizontal="left" vertical="top" wrapText="1" indent="1"/>
      <protection hidden="1"/>
    </xf>
    <xf numFmtId="0" fontId="15" fillId="0" borderId="8" xfId="0" applyFont="1" applyFill="1" applyBorder="1" applyAlignment="1" applyProtection="1">
      <alignment horizontal="left" vertical="center" indent="1"/>
      <protection hidden="1"/>
    </xf>
    <xf numFmtId="0" fontId="15" fillId="0" borderId="0" xfId="0" applyFont="1" applyFill="1" applyBorder="1" applyAlignment="1" applyProtection="1">
      <alignment horizontal="left" vertical="center" indent="1"/>
      <protection hidden="1"/>
    </xf>
    <xf numFmtId="0" fontId="8" fillId="0" borderId="7" xfId="0" applyFont="1" applyFill="1" applyBorder="1" applyAlignment="1" applyProtection="1">
      <alignment horizontal="left" vertical="center"/>
      <protection hidden="1"/>
    </xf>
    <xf numFmtId="0" fontId="8" fillId="0" borderId="8" xfId="0" applyFont="1" applyFill="1" applyBorder="1" applyAlignment="1" applyProtection="1">
      <alignment horizontal="left" vertical="top" wrapText="1" indent="1"/>
      <protection hidden="1"/>
    </xf>
    <xf numFmtId="0" fontId="8" fillId="0" borderId="0" xfId="0" applyFont="1" applyFill="1" applyBorder="1" applyAlignment="1" applyProtection="1">
      <alignment horizontal="left" vertical="top" wrapText="1" indent="1"/>
      <protection hidden="1"/>
    </xf>
    <xf numFmtId="14" fontId="8" fillId="0" borderId="0" xfId="0" applyNumberFormat="1" applyFont="1" applyFill="1" applyBorder="1" applyAlignment="1" applyProtection="1">
      <alignment horizontal="left" vertical="top" wrapText="1" indent="1"/>
      <protection hidden="1"/>
    </xf>
    <xf numFmtId="0" fontId="8" fillId="0" borderId="0" xfId="0" applyNumberFormat="1" applyFont="1" applyFill="1" applyBorder="1" applyAlignment="1" applyProtection="1">
      <alignment horizontal="left" vertical="top" wrapText="1" indent="1"/>
      <protection hidden="1"/>
    </xf>
    <xf numFmtId="0" fontId="0" fillId="0" borderId="0" xfId="0" applyAlignment="1" applyProtection="1">
      <alignment horizontal="center" vertical="center"/>
      <protection hidden="1"/>
    </xf>
    <xf numFmtId="14" fontId="8" fillId="3" borderId="0" xfId="0" applyNumberFormat="1" applyFont="1" applyFill="1" applyBorder="1" applyAlignment="1" applyProtection="1">
      <alignment horizontal="left" vertical="top" indent="1"/>
      <protection hidden="1"/>
    </xf>
    <xf numFmtId="0" fontId="0" fillId="0" borderId="8" xfId="0" applyBorder="1" applyAlignment="1" applyProtection="1">
      <alignment horizontal="center" vertical="center"/>
      <protection hidden="1"/>
    </xf>
    <xf numFmtId="14" fontId="8" fillId="0" borderId="0" xfId="0" applyNumberFormat="1" applyFont="1" applyFill="1" applyBorder="1" applyAlignment="1" applyProtection="1">
      <alignment horizontal="left" vertical="top" indent="1"/>
      <protection hidden="1"/>
    </xf>
    <xf numFmtId="0" fontId="8" fillId="0" borderId="8" xfId="0" applyFont="1" applyFill="1" applyBorder="1" applyAlignment="1" applyProtection="1">
      <alignment horizontal="center" vertical="top" wrapText="1"/>
      <protection hidden="1"/>
    </xf>
    <xf numFmtId="0" fontId="8" fillId="0" borderId="9" xfId="0" applyFont="1" applyFill="1" applyBorder="1" applyAlignment="1" applyProtection="1">
      <alignment vertical="top" wrapText="1"/>
      <protection hidden="1"/>
    </xf>
    <xf numFmtId="14" fontId="8" fillId="0" borderId="9" xfId="0" applyNumberFormat="1" applyFont="1" applyFill="1" applyBorder="1" applyAlignment="1" applyProtection="1">
      <alignment vertical="top"/>
      <protection hidden="1"/>
    </xf>
    <xf numFmtId="14" fontId="8" fillId="0" borderId="9" xfId="0" applyNumberFormat="1" applyFont="1" applyFill="1" applyBorder="1" applyAlignment="1" applyProtection="1">
      <alignment horizontal="center" vertical="top" wrapText="1"/>
      <protection hidden="1"/>
    </xf>
    <xf numFmtId="0" fontId="8" fillId="0" borderId="9" xfId="0" applyNumberFormat="1" applyFont="1" applyFill="1" applyBorder="1" applyAlignment="1" applyProtection="1">
      <alignment horizontal="center" vertical="top" wrapText="1"/>
      <protection hidden="1"/>
    </xf>
    <xf numFmtId="0" fontId="8" fillId="0" borderId="10" xfId="0" applyFont="1" applyFill="1" applyBorder="1" applyAlignment="1" applyProtection="1">
      <alignment horizontal="center" vertical="center"/>
      <protection hidden="1"/>
    </xf>
    <xf numFmtId="0" fontId="56" fillId="0" borderId="0" xfId="0" applyNumberFormat="1" applyFont="1" applyFill="1" applyBorder="1" applyAlignment="1" applyProtection="1">
      <alignment vertical="center"/>
      <protection hidden="1"/>
    </xf>
    <xf numFmtId="0" fontId="0" fillId="0" borderId="0" xfId="0" applyFont="1" applyBorder="1" applyAlignment="1" applyProtection="1">
      <alignment vertical="center"/>
      <protection hidden="1"/>
    </xf>
    <xf numFmtId="0" fontId="0" fillId="0" borderId="0" xfId="0" applyFont="1" applyAlignment="1" applyProtection="1">
      <alignment horizontal="center" vertical="center"/>
      <protection hidden="1"/>
    </xf>
    <xf numFmtId="0" fontId="0" fillId="0" borderId="0" xfId="0" applyFont="1" applyBorder="1" applyProtection="1">
      <protection hidden="1"/>
    </xf>
    <xf numFmtId="0" fontId="0" fillId="0" borderId="0" xfId="0" applyFont="1" applyFill="1" applyAlignment="1" applyProtection="1">
      <alignment vertical="center"/>
      <protection hidden="1"/>
    </xf>
    <xf numFmtId="0" fontId="23" fillId="0" borderId="11" xfId="0" applyNumberFormat="1" applyFont="1" applyFill="1" applyBorder="1" applyAlignment="1" applyProtection="1">
      <alignment vertical="center"/>
      <protection hidden="1"/>
    </xf>
    <xf numFmtId="0" fontId="0" fillId="0" borderId="0" xfId="0" applyFont="1" applyAlignment="1" applyProtection="1">
      <alignment vertical="center"/>
      <protection hidden="1"/>
    </xf>
    <xf numFmtId="0" fontId="37" fillId="0" borderId="0" xfId="0" applyFont="1" applyFill="1" applyBorder="1" applyAlignment="1" applyProtection="1">
      <alignment vertical="center" wrapText="1"/>
      <protection hidden="1"/>
    </xf>
    <xf numFmtId="0" fontId="20" fillId="0" borderId="0" xfId="0" applyFont="1" applyFill="1" applyBorder="1" applyAlignment="1" applyProtection="1">
      <alignment horizontal="left" vertical="center" wrapText="1" indent="1"/>
      <protection hidden="1"/>
    </xf>
    <xf numFmtId="0" fontId="25" fillId="0" borderId="0" xfId="0" applyNumberFormat="1" applyFont="1" applyFill="1" applyBorder="1" applyAlignment="1" applyProtection="1">
      <alignment horizontal="left" vertical="center" wrapText="1" indent="1"/>
      <protection hidden="1"/>
    </xf>
    <xf numFmtId="0" fontId="15" fillId="0" borderId="0" xfId="0" applyFont="1" applyAlignment="1" applyProtection="1">
      <alignment horizontal="center" vertical="center"/>
      <protection hidden="1"/>
    </xf>
    <xf numFmtId="0" fontId="27" fillId="2" borderId="24" xfId="0" applyFont="1" applyFill="1" applyBorder="1" applyAlignment="1" applyProtection="1">
      <alignment horizontal="center" vertical="center"/>
      <protection hidden="1"/>
    </xf>
    <xf numFmtId="0" fontId="20" fillId="2" borderId="29" xfId="0" applyFont="1" applyFill="1" applyBorder="1" applyAlignment="1" applyProtection="1">
      <alignment horizontal="left" vertical="center" indent="1"/>
      <protection locked="0"/>
    </xf>
    <xf numFmtId="0" fontId="31" fillId="7" borderId="16" xfId="0" applyFont="1" applyFill="1" applyBorder="1" applyAlignment="1" applyProtection="1">
      <alignment horizontal="left" vertical="center" indent="1"/>
      <protection hidden="1"/>
    </xf>
    <xf numFmtId="0" fontId="31" fillId="7" borderId="18" xfId="0" applyFont="1" applyFill="1" applyBorder="1" applyAlignment="1" applyProtection="1">
      <alignment horizontal="left" vertical="center" indent="1"/>
      <protection hidden="1"/>
    </xf>
    <xf numFmtId="0" fontId="28" fillId="0" borderId="0" xfId="0" applyFont="1" applyBorder="1" applyAlignment="1" applyProtection="1">
      <alignment horizontal="center" vertical="center" wrapText="1"/>
      <protection hidden="1"/>
    </xf>
    <xf numFmtId="0" fontId="53" fillId="0" borderId="11" xfId="0" applyNumberFormat="1" applyFont="1" applyFill="1" applyBorder="1" applyAlignment="1" applyProtection="1">
      <alignment horizontal="left" vertical="center" wrapText="1"/>
      <protection hidden="1"/>
    </xf>
    <xf numFmtId="0" fontId="53" fillId="0" borderId="0" xfId="0" applyNumberFormat="1" applyFont="1" applyFill="1" applyBorder="1" applyAlignment="1" applyProtection="1">
      <alignment horizontal="left" vertical="center" wrapText="1"/>
      <protection hidden="1"/>
    </xf>
    <xf numFmtId="0" fontId="57" fillId="0" borderId="11" xfId="0" applyNumberFormat="1" applyFont="1" applyFill="1" applyBorder="1" applyAlignment="1" applyProtection="1">
      <alignment horizontal="left" vertical="center" wrapText="1"/>
      <protection hidden="1"/>
    </xf>
    <xf numFmtId="0" fontId="57" fillId="0" borderId="0" xfId="0" applyNumberFormat="1" applyFont="1" applyFill="1" applyBorder="1" applyAlignment="1" applyProtection="1">
      <alignment horizontal="left" vertical="center" wrapText="1"/>
      <protection hidden="1"/>
    </xf>
    <xf numFmtId="0" fontId="53" fillId="5" borderId="0" xfId="0" applyNumberFormat="1" applyFont="1" applyFill="1" applyBorder="1" applyAlignment="1" applyProtection="1">
      <alignment horizontal="left" vertical="center" wrapText="1" indent="1"/>
      <protection hidden="1"/>
    </xf>
    <xf numFmtId="0" fontId="37" fillId="5" borderId="0" xfId="0" applyFont="1" applyFill="1" applyBorder="1" applyAlignment="1" applyProtection="1">
      <alignment horizontal="left" vertical="center" wrapText="1" indent="1"/>
      <protection hidden="1"/>
    </xf>
    <xf numFmtId="0" fontId="24" fillId="7" borderId="0" xfId="0" applyFont="1" applyFill="1" applyBorder="1" applyAlignment="1" applyProtection="1">
      <alignment horizontal="center" vertical="center" wrapText="1"/>
      <protection hidden="1"/>
    </xf>
    <xf numFmtId="9" fontId="38" fillId="9" borderId="0" xfId="0" applyNumberFormat="1" applyFont="1" applyFill="1" applyBorder="1" applyAlignment="1" applyProtection="1">
      <alignment horizontal="center" vertical="center" wrapText="1"/>
      <protection hidden="1"/>
    </xf>
    <xf numFmtId="0" fontId="51" fillId="5" borderId="0" xfId="0" applyFont="1" applyFill="1" applyBorder="1" applyAlignment="1" applyProtection="1">
      <alignment horizontal="left" vertical="center" wrapText="1" indent="1"/>
      <protection hidden="1"/>
    </xf>
    <xf numFmtId="0" fontId="53" fillId="0" borderId="0" xfId="0" applyFont="1" applyFill="1" applyBorder="1" applyAlignment="1" applyProtection="1">
      <alignment horizontal="left" vertical="center" wrapText="1"/>
      <protection hidden="1"/>
    </xf>
    <xf numFmtId="0" fontId="55" fillId="0" borderId="0" xfId="0" applyNumberFormat="1" applyFont="1" applyAlignment="1" applyProtection="1">
      <alignment horizontal="center" vertical="center" wrapText="1"/>
      <protection hidden="1"/>
    </xf>
    <xf numFmtId="0" fontId="25" fillId="0" borderId="0" xfId="0" applyNumberFormat="1" applyFont="1" applyFill="1" applyBorder="1" applyAlignment="1" applyProtection="1">
      <alignment horizontal="left" vertical="top" wrapText="1" indent="1"/>
      <protection hidden="1"/>
    </xf>
    <xf numFmtId="0" fontId="24" fillId="7" borderId="0" xfId="0" applyFont="1" applyFill="1" applyBorder="1" applyAlignment="1" applyProtection="1">
      <alignment horizontal="left" vertical="center" wrapText="1" indent="1"/>
      <protection hidden="1"/>
    </xf>
    <xf numFmtId="0" fontId="37" fillId="5" borderId="0" xfId="0" applyFont="1" applyFill="1" applyBorder="1" applyAlignment="1" applyProtection="1">
      <alignment horizontal="left" vertical="top" wrapText="1" indent="1"/>
      <protection hidden="1"/>
    </xf>
    <xf numFmtId="0" fontId="8" fillId="3" borderId="0" xfId="0" applyFont="1" applyFill="1" applyBorder="1" applyAlignment="1" applyProtection="1">
      <alignment horizontal="left" vertical="top" indent="1"/>
      <protection hidden="1"/>
    </xf>
    <xf numFmtId="0" fontId="8" fillId="3" borderId="0" xfId="0" applyFont="1" applyFill="1" applyBorder="1" applyAlignment="1" applyProtection="1">
      <alignment horizontal="left" vertical="top" wrapText="1" indent="1"/>
      <protection hidden="1"/>
    </xf>
    <xf numFmtId="0" fontId="8" fillId="0" borderId="0" xfId="0" applyFont="1" applyFill="1" applyBorder="1" applyAlignment="1" applyProtection="1">
      <alignment horizontal="left" vertical="center" indent="1"/>
      <protection hidden="1"/>
    </xf>
    <xf numFmtId="0" fontId="15" fillId="0" borderId="0" xfId="0" applyFont="1" applyFill="1" applyBorder="1" applyAlignment="1" applyProtection="1">
      <alignment horizontal="left" vertical="center" indent="1"/>
      <protection hidden="1"/>
    </xf>
    <xf numFmtId="0" fontId="8" fillId="0" borderId="9" xfId="0" applyFont="1" applyFill="1" applyBorder="1" applyAlignment="1" applyProtection="1">
      <alignment horizontal="left" vertical="top"/>
      <protection hidden="1"/>
    </xf>
    <xf numFmtId="0" fontId="8" fillId="0" borderId="9" xfId="0" applyFont="1" applyFill="1" applyBorder="1" applyAlignment="1" applyProtection="1">
      <alignment horizontal="left" vertical="top" wrapText="1"/>
      <protection hidden="1"/>
    </xf>
    <xf numFmtId="0" fontId="8" fillId="3" borderId="0" xfId="0" applyFont="1" applyFill="1" applyBorder="1" applyAlignment="1" applyProtection="1">
      <alignment horizontal="left" vertical="center" indent="1"/>
      <protection hidden="1"/>
    </xf>
    <xf numFmtId="0" fontId="15" fillId="3" borderId="0" xfId="0" applyFont="1" applyFill="1" applyBorder="1" applyAlignment="1" applyProtection="1">
      <alignment horizontal="left" vertical="center" indent="1"/>
      <protection hidden="1"/>
    </xf>
    <xf numFmtId="0" fontId="8" fillId="0" borderId="0" xfId="0" applyFont="1" applyFill="1" applyBorder="1" applyAlignment="1" applyProtection="1">
      <alignment horizontal="left" vertical="top" indent="1"/>
      <protection hidden="1"/>
    </xf>
    <xf numFmtId="0" fontId="8" fillId="0" borderId="0" xfId="0" applyFont="1" applyFill="1" applyBorder="1" applyAlignment="1" applyProtection="1">
      <alignment horizontal="left" vertical="top" wrapText="1" indent="1"/>
      <protection hidden="1"/>
    </xf>
    <xf numFmtId="0" fontId="3" fillId="0" borderId="0" xfId="0" applyFont="1" applyBorder="1" applyAlignment="1" applyProtection="1">
      <alignment vertical="center"/>
      <protection hidden="1"/>
    </xf>
    <xf numFmtId="0" fontId="17" fillId="0" borderId="0" xfId="0" applyFont="1" applyBorder="1" applyAlignment="1" applyProtection="1">
      <alignment vertical="center"/>
      <protection hidden="1"/>
    </xf>
    <xf numFmtId="0" fontId="16" fillId="10" borderId="1" xfId="0" applyFont="1" applyFill="1" applyBorder="1" applyAlignment="1" applyProtection="1">
      <alignment horizontal="left" vertical="center" wrapText="1" indent="1"/>
      <protection hidden="1"/>
    </xf>
    <xf numFmtId="0" fontId="16" fillId="10" borderId="2" xfId="0" applyFont="1" applyFill="1" applyBorder="1" applyAlignment="1" applyProtection="1">
      <alignment horizontal="left" vertical="center" wrapText="1" indent="1"/>
      <protection hidden="1"/>
    </xf>
    <xf numFmtId="0" fontId="8" fillId="8" borderId="1" xfId="0" applyFont="1" applyFill="1" applyBorder="1" applyAlignment="1" applyProtection="1">
      <alignment horizontal="left" vertical="center" wrapText="1" indent="1"/>
      <protection hidden="1"/>
    </xf>
    <xf numFmtId="0" fontId="8" fillId="8" borderId="3" xfId="0" applyFont="1" applyFill="1" applyBorder="1" applyAlignment="1" applyProtection="1">
      <alignment horizontal="left" vertical="center" wrapText="1" indent="1"/>
      <protection hidden="1"/>
    </xf>
    <xf numFmtId="0" fontId="8" fillId="8" borderId="2" xfId="0" applyFont="1" applyFill="1" applyBorder="1" applyAlignment="1" applyProtection="1">
      <alignment horizontal="left" vertical="center" wrapText="1" indent="1"/>
      <protection hidden="1"/>
    </xf>
    <xf numFmtId="0" fontId="42" fillId="14" borderId="0" xfId="0" applyFont="1" applyFill="1" applyAlignment="1" applyProtection="1">
      <alignment vertical="center"/>
      <protection hidden="1"/>
    </xf>
    <xf numFmtId="0" fontId="0" fillId="14" borderId="0" xfId="0" applyFill="1" applyProtection="1">
      <protection hidden="1"/>
    </xf>
    <xf numFmtId="0" fontId="36" fillId="14" borderId="0" xfId="0" applyFont="1" applyFill="1" applyAlignment="1" applyProtection="1">
      <alignment vertical="center" wrapText="1"/>
      <protection hidden="1"/>
    </xf>
    <xf numFmtId="0" fontId="43" fillId="14" borderId="0" xfId="0" applyFont="1" applyFill="1" applyAlignment="1" applyProtection="1">
      <alignment vertical="center" wrapText="1"/>
      <protection hidden="1"/>
    </xf>
    <xf numFmtId="0" fontId="8" fillId="0" borderId="27" xfId="0" applyFont="1" applyBorder="1" applyAlignment="1" applyProtection="1">
      <alignment vertical="top"/>
      <protection hidden="1"/>
    </xf>
    <xf numFmtId="0" fontId="0" fillId="0" borderId="27" xfId="0" applyFont="1" applyBorder="1" applyAlignment="1" applyProtection="1">
      <alignment vertical="center"/>
      <protection hidden="1"/>
    </xf>
    <xf numFmtId="0" fontId="40" fillId="12" borderId="24" xfId="0" applyFont="1" applyFill="1" applyBorder="1" applyAlignment="1" applyProtection="1">
      <alignment horizontal="left" vertical="center" wrapText="1" indent="1"/>
      <protection hidden="1"/>
    </xf>
    <xf numFmtId="0" fontId="12" fillId="2" borderId="25" xfId="0" applyFont="1" applyFill="1" applyBorder="1" applyAlignment="1" applyProtection="1">
      <alignment horizontal="left" vertical="center" wrapText="1"/>
      <protection hidden="1"/>
    </xf>
    <xf numFmtId="0" fontId="12" fillId="2" borderId="26" xfId="0" applyFont="1" applyFill="1" applyBorder="1" applyAlignment="1" applyProtection="1">
      <alignment horizontal="left" vertical="center" wrapText="1"/>
      <protection hidden="1"/>
    </xf>
    <xf numFmtId="0" fontId="12" fillId="2" borderId="28" xfId="0" applyFont="1" applyFill="1" applyBorder="1" applyAlignment="1" applyProtection="1">
      <alignment horizontal="left" vertical="center" wrapText="1"/>
      <protection hidden="1"/>
    </xf>
    <xf numFmtId="0" fontId="0" fillId="0" borderId="24" xfId="0" applyBorder="1" applyAlignment="1" applyProtection="1">
      <alignment vertical="center" wrapText="1"/>
      <protection hidden="1"/>
    </xf>
    <xf numFmtId="0" fontId="12" fillId="2" borderId="25" xfId="0" applyFont="1" applyFill="1" applyBorder="1" applyAlignment="1" applyProtection="1">
      <alignment vertical="center" wrapText="1"/>
      <protection hidden="1"/>
    </xf>
    <xf numFmtId="0" fontId="12" fillId="2" borderId="26" xfId="0" applyFont="1" applyFill="1" applyBorder="1" applyAlignment="1" applyProtection="1">
      <alignment vertical="center" wrapText="1"/>
      <protection hidden="1"/>
    </xf>
    <xf numFmtId="0" fontId="11" fillId="0" borderId="0" xfId="0" applyFont="1" applyFill="1" applyAlignment="1" applyProtection="1">
      <alignment vertical="center"/>
      <protection hidden="1"/>
    </xf>
    <xf numFmtId="0" fontId="27" fillId="0" borderId="0" xfId="0" applyFont="1" applyAlignment="1" applyProtection="1">
      <alignment vertical="center"/>
      <protection hidden="1"/>
    </xf>
    <xf numFmtId="0" fontId="0" fillId="0" borderId="0" xfId="0" applyAlignment="1" applyProtection="1">
      <alignment vertical="center" wrapText="1"/>
      <protection hidden="1"/>
    </xf>
    <xf numFmtId="0" fontId="12" fillId="0" borderId="0" xfId="6" applyFont="1" applyProtection="1">
      <protection hidden="1"/>
    </xf>
    <xf numFmtId="0" fontId="41" fillId="0" borderId="0" xfId="6" applyFont="1" applyAlignment="1" applyProtection="1">
      <alignment vertical="center"/>
      <protection hidden="1"/>
    </xf>
    <xf numFmtId="0" fontId="12" fillId="0" borderId="0" xfId="6" applyFont="1" applyAlignment="1" applyProtection="1">
      <alignment vertical="center"/>
      <protection hidden="1"/>
    </xf>
    <xf numFmtId="0" fontId="25" fillId="0" borderId="24" xfId="6" applyFont="1" applyBorder="1" applyAlignment="1" applyProtection="1">
      <alignment vertical="center" wrapText="1"/>
      <protection hidden="1"/>
    </xf>
    <xf numFmtId="0" fontId="25" fillId="0" borderId="0" xfId="6" applyFont="1" applyBorder="1" applyAlignment="1" applyProtection="1">
      <alignment vertical="center" wrapText="1"/>
      <protection hidden="1"/>
    </xf>
    <xf numFmtId="0" fontId="12" fillId="0" borderId="24" xfId="6" applyFont="1" applyBorder="1" applyAlignment="1" applyProtection="1">
      <alignment vertical="center" wrapText="1"/>
      <protection hidden="1"/>
    </xf>
    <xf numFmtId="0" fontId="12" fillId="0" borderId="0" xfId="6" applyFont="1" applyBorder="1" applyAlignment="1" applyProtection="1">
      <alignment vertical="center" wrapText="1"/>
      <protection hidden="1"/>
    </xf>
    <xf numFmtId="0" fontId="12" fillId="0" borderId="0" xfId="6" applyFont="1" applyAlignment="1" applyProtection="1">
      <protection hidden="1"/>
    </xf>
    <xf numFmtId="0" fontId="7" fillId="0" borderId="0" xfId="6" applyFont="1" applyProtection="1">
      <protection hidden="1"/>
    </xf>
    <xf numFmtId="0" fontId="30" fillId="0" borderId="0" xfId="6" applyFont="1" applyFill="1" applyAlignment="1" applyProtection="1">
      <protection hidden="1"/>
    </xf>
    <xf numFmtId="0" fontId="18" fillId="0" borderId="0" xfId="6" applyFont="1" applyFill="1" applyProtection="1">
      <protection hidden="1"/>
    </xf>
    <xf numFmtId="0" fontId="5" fillId="0" borderId="0" xfId="6" applyFill="1" applyProtection="1">
      <protection hidden="1"/>
    </xf>
    <xf numFmtId="0" fontId="13" fillId="0" borderId="0" xfId="6" applyFont="1" applyFill="1" applyAlignment="1" applyProtection="1">
      <alignment vertical="center"/>
      <protection hidden="1"/>
    </xf>
    <xf numFmtId="0" fontId="5" fillId="2" borderId="0" xfId="6" applyFill="1" applyProtection="1">
      <protection hidden="1"/>
    </xf>
    <xf numFmtId="0" fontId="11" fillId="13" borderId="0" xfId="6" applyFont="1" applyFill="1" applyAlignment="1" applyProtection="1">
      <alignment horizontal="center" vertical="center"/>
      <protection hidden="1"/>
    </xf>
    <xf numFmtId="0" fontId="27" fillId="0" borderId="0" xfId="0" applyFont="1" applyAlignment="1" applyProtection="1">
      <alignment horizontal="left" vertical="center" indent="2"/>
      <protection hidden="1"/>
    </xf>
    <xf numFmtId="0" fontId="44" fillId="13" borderId="0" xfId="1" applyFont="1" applyFill="1" applyAlignment="1" applyProtection="1">
      <alignment horizontal="center" vertical="center"/>
      <protection hidden="1"/>
    </xf>
    <xf numFmtId="0" fontId="45" fillId="0" borderId="0" xfId="6" applyFont="1" applyAlignment="1" applyProtection="1">
      <alignment vertical="center"/>
      <protection hidden="1"/>
    </xf>
    <xf numFmtId="0" fontId="46" fillId="0" borderId="0" xfId="6" applyFont="1" applyAlignment="1" applyProtection="1">
      <alignment horizontal="center" vertical="center"/>
      <protection hidden="1"/>
    </xf>
    <xf numFmtId="0" fontId="47" fillId="0" borderId="0" xfId="6" applyFont="1" applyAlignment="1" applyProtection="1">
      <alignment vertical="center"/>
      <protection hidden="1"/>
    </xf>
    <xf numFmtId="0" fontId="5" fillId="0" borderId="0" xfId="6" applyProtection="1">
      <protection hidden="1"/>
    </xf>
    <xf numFmtId="0" fontId="41" fillId="0" borderId="0" xfId="6" applyFont="1" applyProtection="1">
      <protection hidden="1"/>
    </xf>
    <xf numFmtId="0" fontId="13" fillId="0" borderId="0" xfId="6" applyFont="1" applyAlignment="1" applyProtection="1">
      <alignment vertical="center"/>
      <protection hidden="1"/>
    </xf>
    <xf numFmtId="0" fontId="13" fillId="0" borderId="0" xfId="6" applyFont="1" applyAlignment="1" applyProtection="1">
      <alignment vertical="center" wrapText="1"/>
      <protection hidden="1"/>
    </xf>
    <xf numFmtId="0" fontId="22" fillId="0" borderId="0" xfId="6" applyFont="1" applyFill="1" applyAlignment="1" applyProtection="1">
      <alignment horizontal="center" vertical="center"/>
      <protection hidden="1"/>
    </xf>
    <xf numFmtId="0" fontId="48" fillId="0" borderId="0" xfId="0" applyFont="1" applyFill="1" applyAlignment="1" applyProtection="1">
      <alignment horizontal="left" vertical="center" indent="2"/>
      <protection hidden="1"/>
    </xf>
    <xf numFmtId="0" fontId="24" fillId="0" borderId="0" xfId="1" applyFont="1" applyFill="1" applyAlignment="1" applyProtection="1">
      <alignment horizontal="center" vertical="center"/>
      <protection hidden="1"/>
    </xf>
    <xf numFmtId="0" fontId="49" fillId="0" borderId="0" xfId="6" applyFont="1" applyAlignment="1" applyProtection="1">
      <alignment horizontal="left" vertical="center"/>
      <protection hidden="1"/>
    </xf>
    <xf numFmtId="0" fontId="49" fillId="0" borderId="0" xfId="6" applyFont="1" applyAlignment="1" applyProtection="1">
      <alignment vertical="center"/>
      <protection hidden="1"/>
    </xf>
    <xf numFmtId="0" fontId="10" fillId="0" borderId="0" xfId="6" applyFont="1" applyProtection="1">
      <protection hidden="1"/>
    </xf>
    <xf numFmtId="0" fontId="30" fillId="0" borderId="0" xfId="6" applyFont="1" applyFill="1" applyProtection="1">
      <protection hidden="1"/>
    </xf>
    <xf numFmtId="0" fontId="12" fillId="5" borderId="12" xfId="0" applyFont="1" applyFill="1" applyBorder="1" applyAlignment="1" applyProtection="1">
      <alignment horizontal="left" vertical="center" indent="1"/>
      <protection hidden="1"/>
    </xf>
    <xf numFmtId="0" fontId="12" fillId="5" borderId="13" xfId="0" applyFont="1" applyFill="1" applyBorder="1" applyAlignment="1" applyProtection="1">
      <alignment horizontal="left" vertical="center" indent="1"/>
      <protection hidden="1"/>
    </xf>
    <xf numFmtId="0" fontId="12" fillId="5" borderId="14" xfId="0" applyFont="1" applyFill="1" applyBorder="1" applyAlignment="1" applyProtection="1">
      <alignment horizontal="left" vertical="center" indent="1"/>
      <protection hidden="1"/>
    </xf>
    <xf numFmtId="14" fontId="12" fillId="5" borderId="12" xfId="0" applyNumberFormat="1" applyFont="1" applyFill="1" applyBorder="1" applyAlignment="1" applyProtection="1">
      <alignment horizontal="center" vertical="center"/>
      <protection hidden="1"/>
    </xf>
    <xf numFmtId="0" fontId="12" fillId="5" borderId="12" xfId="0" applyFont="1" applyFill="1" applyBorder="1" applyAlignment="1" applyProtection="1">
      <alignment horizontal="center" vertical="center"/>
      <protection hidden="1"/>
    </xf>
    <xf numFmtId="14" fontId="0" fillId="5" borderId="21" xfId="0" applyNumberFormat="1" applyFont="1" applyFill="1" applyBorder="1" applyAlignment="1" applyProtection="1">
      <alignment horizontal="center" vertical="center" wrapText="1"/>
      <protection hidden="1"/>
    </xf>
    <xf numFmtId="0" fontId="8" fillId="5" borderId="21" xfId="0" applyFont="1" applyFill="1" applyBorder="1" applyAlignment="1" applyProtection="1">
      <alignment horizontal="center" vertical="center" wrapText="1"/>
      <protection hidden="1"/>
    </xf>
    <xf numFmtId="14" fontId="8" fillId="5" borderId="21" xfId="0" applyNumberFormat="1" applyFont="1" applyFill="1" applyBorder="1" applyAlignment="1" applyProtection="1">
      <alignment horizontal="center" vertical="center" wrapText="1"/>
      <protection hidden="1"/>
    </xf>
    <xf numFmtId="14" fontId="8" fillId="5" borderId="21" xfId="0" applyNumberFormat="1" applyFont="1" applyFill="1" applyBorder="1" applyAlignment="1" applyProtection="1">
      <alignment horizontal="left" vertical="center" wrapText="1" indent="1"/>
      <protection hidden="1"/>
    </xf>
    <xf numFmtId="0" fontId="8" fillId="5" borderId="23" xfId="0" applyFont="1" applyFill="1" applyBorder="1" applyAlignment="1" applyProtection="1">
      <alignment horizontal="center" vertical="center" wrapText="1"/>
      <protection hidden="1"/>
    </xf>
    <xf numFmtId="0" fontId="30" fillId="0" borderId="0" xfId="0" applyFont="1" applyFill="1" applyAlignment="1" applyProtection="1">
      <alignment vertical="center"/>
      <protection hidden="1"/>
    </xf>
    <xf numFmtId="0" fontId="58" fillId="0" borderId="0" xfId="0" applyFont="1" applyFill="1" applyAlignment="1" applyProtection="1">
      <alignment vertical="center"/>
      <protection hidden="1"/>
    </xf>
    <xf numFmtId="0" fontId="7" fillId="0" borderId="0" xfId="0" applyFont="1" applyFill="1" applyAlignment="1" applyProtection="1">
      <alignment vertical="center"/>
      <protection hidden="1"/>
    </xf>
    <xf numFmtId="0" fontId="0" fillId="0" borderId="0" xfId="0" applyFont="1" applyFill="1" applyAlignment="1" applyProtection="1">
      <alignment horizontal="left" vertical="center" wrapText="1"/>
      <protection hidden="1"/>
    </xf>
    <xf numFmtId="0" fontId="24" fillId="0" borderId="0" xfId="0" applyFont="1" applyFill="1" applyBorder="1" applyAlignment="1" applyProtection="1">
      <alignment horizontal="center" vertical="center"/>
      <protection hidden="1"/>
    </xf>
    <xf numFmtId="9" fontId="8" fillId="0" borderId="0" xfId="0" applyNumberFormat="1" applyFont="1" applyFill="1" applyBorder="1" applyAlignment="1" applyProtection="1">
      <alignment vertical="center"/>
      <protection hidden="1"/>
    </xf>
    <xf numFmtId="0" fontId="8" fillId="0" borderId="0" xfId="0" applyFont="1" applyFill="1" applyBorder="1" applyAlignment="1" applyProtection="1">
      <alignment vertical="center" wrapText="1"/>
      <protection hidden="1"/>
    </xf>
  </cellXfs>
  <cellStyles count="7">
    <cellStyle name="Hiperlink" xfId="1" builtinId="8"/>
    <cellStyle name="Normal" xfId="0" builtinId="0"/>
    <cellStyle name="Normal 2" xfId="2"/>
    <cellStyle name="Normal 2 2" xfId="4"/>
    <cellStyle name="Normal 2 2 2" xfId="5"/>
    <cellStyle name="Normal 2 3" xfId="6"/>
    <cellStyle name="Porcentagem" xfId="3" builtinId="5"/>
  </cellStyles>
  <dxfs count="31">
    <dxf>
      <font>
        <color theme="0"/>
      </font>
      <fill>
        <patternFill>
          <bgColor rgb="FF339933"/>
        </patternFill>
      </fill>
    </dxf>
    <dxf>
      <font>
        <color theme="0"/>
      </font>
      <fill>
        <patternFill>
          <bgColor rgb="FFFF3333"/>
        </patternFill>
      </fill>
    </dxf>
    <dxf>
      <font>
        <color theme="1" tint="0.14996795556505021"/>
      </font>
      <fill>
        <patternFill>
          <bgColor rgb="FFFFCC00"/>
        </patternFill>
      </fill>
    </dxf>
    <dxf>
      <font>
        <color theme="0"/>
      </font>
      <fill>
        <patternFill>
          <bgColor rgb="FF339933"/>
        </patternFill>
      </fill>
    </dxf>
    <dxf>
      <font>
        <color theme="0"/>
      </font>
      <fill>
        <patternFill>
          <bgColor rgb="FFFF3333"/>
        </patternFill>
      </fill>
    </dxf>
    <dxf>
      <font>
        <color theme="1" tint="0.14996795556505021"/>
      </font>
      <fill>
        <patternFill>
          <bgColor rgb="FFFFCC00"/>
        </patternFill>
      </fill>
    </dxf>
    <dxf>
      <font>
        <color theme="1" tint="0.14996795556505021"/>
      </font>
      <fill>
        <patternFill>
          <bgColor rgb="FFFFCC00"/>
        </patternFill>
      </fill>
    </dxf>
    <dxf>
      <font>
        <color theme="0"/>
      </font>
      <fill>
        <patternFill>
          <bgColor rgb="FF339933"/>
        </patternFill>
      </fill>
    </dxf>
    <dxf>
      <font>
        <color theme="0"/>
      </font>
      <fill>
        <patternFill>
          <bgColor rgb="FFFF3333"/>
        </patternFill>
      </fill>
    </dxf>
    <dxf>
      <font>
        <color theme="1" tint="0.14996795556505021"/>
      </font>
      <fill>
        <patternFill>
          <bgColor rgb="FFFFCC00"/>
        </patternFill>
      </fill>
    </dxf>
    <dxf>
      <font>
        <color theme="1" tint="0.14996795556505021"/>
      </font>
      <fill>
        <patternFill>
          <bgColor rgb="FFFFCC00"/>
        </patternFill>
      </fill>
    </dxf>
    <dxf>
      <font>
        <color theme="0"/>
      </font>
      <fill>
        <patternFill>
          <bgColor rgb="FF339933"/>
        </patternFill>
      </fill>
    </dxf>
    <dxf>
      <font>
        <color theme="0"/>
      </font>
      <fill>
        <patternFill>
          <bgColor rgb="FFFF3333"/>
        </patternFill>
      </fill>
    </dxf>
    <dxf>
      <font>
        <color theme="1" tint="0.14996795556505021"/>
      </font>
      <fill>
        <patternFill>
          <bgColor rgb="FFFFCC00"/>
        </patternFill>
      </fill>
    </dxf>
    <dxf>
      <font>
        <color theme="0"/>
      </font>
      <fill>
        <patternFill>
          <bgColor rgb="FF339933"/>
        </patternFill>
      </fill>
    </dxf>
    <dxf>
      <font>
        <color theme="0"/>
      </font>
      <fill>
        <patternFill>
          <bgColor rgb="FFFF3333"/>
        </patternFill>
      </fill>
    </dxf>
    <dxf>
      <font>
        <color theme="1" tint="0.14996795556505021"/>
      </font>
      <fill>
        <patternFill>
          <bgColor rgb="FFFFCC00"/>
        </patternFill>
      </fill>
    </dxf>
    <dxf>
      <font>
        <color theme="0"/>
      </font>
      <fill>
        <patternFill>
          <bgColor rgb="FF339933"/>
        </patternFill>
      </fill>
    </dxf>
    <dxf>
      <font>
        <color theme="0"/>
      </font>
      <fill>
        <patternFill>
          <bgColor rgb="FFFF3333"/>
        </patternFill>
      </fill>
    </dxf>
    <dxf>
      <fill>
        <patternFill>
          <bgColor theme="0" tint="-4.9989318521683403E-2"/>
        </patternFill>
      </fill>
    </dxf>
    <dxf>
      <font>
        <color theme="0"/>
      </font>
      <fill>
        <patternFill>
          <bgColor rgb="FFFF3333"/>
        </patternFill>
      </fill>
    </dxf>
    <dxf>
      <font>
        <color theme="0"/>
      </font>
      <fill>
        <patternFill patternType="solid">
          <fgColor indexed="64"/>
          <bgColor rgb="FF339933"/>
        </patternFill>
      </fill>
    </dxf>
    <dxf>
      <font>
        <color theme="0"/>
      </font>
      <fill>
        <patternFill>
          <bgColor rgb="FFFF3333"/>
        </patternFill>
      </fill>
    </dxf>
    <dxf>
      <font>
        <color theme="0"/>
      </font>
      <fill>
        <patternFill patternType="solid">
          <fgColor indexed="64"/>
          <bgColor rgb="FF339933"/>
        </patternFill>
      </fill>
    </dxf>
    <dxf>
      <font>
        <color rgb="FF330000"/>
      </font>
      <fill>
        <patternFill>
          <bgColor rgb="FFFF6666"/>
        </patternFill>
      </fill>
    </dxf>
    <dxf>
      <font>
        <color rgb="FF003300"/>
      </font>
      <fill>
        <patternFill patternType="solid">
          <fgColor indexed="64"/>
          <bgColor rgb="FF99CC99"/>
        </patternFill>
      </fill>
    </dxf>
    <dxf>
      <font>
        <color rgb="FF330000"/>
      </font>
      <fill>
        <patternFill>
          <bgColor rgb="FFFF6666"/>
        </patternFill>
      </fill>
    </dxf>
    <dxf>
      <font>
        <color rgb="FF003300"/>
      </font>
      <fill>
        <patternFill patternType="solid">
          <fgColor indexed="64"/>
          <bgColor rgb="FF99CC99"/>
        </patternFill>
      </fill>
    </dxf>
    <dxf>
      <font>
        <color rgb="FF330000"/>
      </font>
      <fill>
        <patternFill>
          <bgColor rgb="FFFF6666"/>
        </patternFill>
      </fill>
    </dxf>
    <dxf>
      <font>
        <color rgb="FF003300"/>
      </font>
      <fill>
        <patternFill patternType="solid">
          <fgColor indexed="64"/>
          <bgColor rgb="FF99CC99"/>
        </patternFill>
      </fill>
    </dxf>
    <dxf>
      <font>
        <color theme="1" tint="0.14996795556505021"/>
      </font>
      <fill>
        <patternFill>
          <bgColor theme="0" tint="-4.9989318521683403E-2"/>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0" i="0" u="none" strike="noStrike" kern="1200" spc="0" baseline="0">
                <a:solidFill>
                  <a:sysClr val="windowText" lastClr="000000">
                    <a:lumMod val="65000"/>
                    <a:lumOff val="35000"/>
                  </a:sysClr>
                </a:solidFill>
                <a:latin typeface="+mn-lt"/>
                <a:ea typeface="+mn-ea"/>
                <a:cs typeface="+mn-cs"/>
              </a:defRPr>
            </a:pPr>
            <a:r>
              <a:rPr lang="pt-BR" sz="1100" b="0" i="0" u="none" strike="noStrike" kern="1200" spc="0" baseline="0">
                <a:solidFill>
                  <a:sysClr val="windowText" lastClr="000000">
                    <a:lumMod val="65000"/>
                    <a:lumOff val="35000"/>
                  </a:sysClr>
                </a:solidFill>
                <a:latin typeface="+mn-lt"/>
                <a:ea typeface="+mn-ea"/>
                <a:cs typeface="+mn-cs"/>
              </a:rPr>
              <a:t>Status</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3"/>
              </a:solidFill>
              <a:ln>
                <a:noFill/>
              </a:ln>
              <a:effectLst/>
            </c:spPr>
          </c:dPt>
          <c:dPt>
            <c:idx val="1"/>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0-9B83-452F-942F-CDF5035310BB}"/>
              </c:ext>
            </c:extLst>
          </c:dPt>
          <c:dPt>
            <c:idx val="2"/>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1-9B83-452F-942F-CDF5035310B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Che!$K$14:$K$16</c:f>
              <c:strCache>
                <c:ptCount val="3"/>
                <c:pt idx="0">
                  <c:v>Concluído no prazo</c:v>
                </c:pt>
                <c:pt idx="1">
                  <c:v>Concluído com atraso</c:v>
                </c:pt>
                <c:pt idx="2">
                  <c:v>Em andamento</c:v>
                </c:pt>
              </c:strCache>
            </c:strRef>
          </c:cat>
          <c:val>
            <c:numRef>
              <c:f>Che!$K$11:$K$13</c:f>
              <c:numCache>
                <c:formatCode>0%</c:formatCode>
                <c:ptCount val="3"/>
                <c:pt idx="0">
                  <c:v>0.4</c:v>
                </c:pt>
                <c:pt idx="1">
                  <c:v>0.4</c:v>
                </c:pt>
                <c:pt idx="2">
                  <c:v>0.2</c:v>
                </c:pt>
              </c:numCache>
            </c:numRef>
          </c:val>
          <c:extLst xmlns:c16r2="http://schemas.microsoft.com/office/drawing/2015/06/chart">
            <c:ext xmlns:c16="http://schemas.microsoft.com/office/drawing/2014/chart" uri="{C3380CC4-5D6E-409C-BE32-E72D297353CC}">
              <c16:uniqueId val="{00000002-9B83-452F-942F-CDF5035310BB}"/>
            </c:ext>
          </c:extLst>
        </c:ser>
        <c:dLbls>
          <c:showLegendKey val="0"/>
          <c:showVal val="0"/>
          <c:showCatName val="0"/>
          <c:showSerName val="0"/>
          <c:showPercent val="0"/>
          <c:showBubbleSize val="0"/>
        </c:dLbls>
        <c:gapWidth val="50"/>
        <c:overlap val="-27"/>
        <c:axId val="219133056"/>
        <c:axId val="219134592"/>
      </c:barChart>
      <c:catAx>
        <c:axId val="219133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19134592"/>
        <c:crosses val="autoZero"/>
        <c:auto val="1"/>
        <c:lblAlgn val="ctr"/>
        <c:lblOffset val="100"/>
        <c:noMultiLvlLbl val="0"/>
      </c:catAx>
      <c:valAx>
        <c:axId val="219134592"/>
        <c:scaling>
          <c:orientation val="minMax"/>
        </c:scaling>
        <c:delete val="1"/>
        <c:axPos val="l"/>
        <c:numFmt formatCode="0%" sourceLinked="1"/>
        <c:majorTickMark val="out"/>
        <c:minorTickMark val="none"/>
        <c:tickLblPos val="nextTo"/>
        <c:crossAx val="2191330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pt-BR" sz="1100"/>
              <a:t>Causas Mais Relevantes</a:t>
            </a:r>
          </a:p>
        </c:rich>
      </c:tx>
      <c:overlay val="0"/>
      <c:spPr>
        <a:noFill/>
        <a:ln>
          <a:noFill/>
        </a:ln>
        <a:effectLst/>
      </c:spPr>
    </c:title>
    <c:autoTitleDeleted val="0"/>
    <c:plotArea>
      <c:layout/>
      <c:barChart>
        <c:barDir val="bar"/>
        <c:grouping val="clustered"/>
        <c:varyColors val="0"/>
        <c:ser>
          <c:idx val="0"/>
          <c:order val="0"/>
          <c:tx>
            <c:strRef>
              <c:f>Plan!$D$9</c:f>
              <c:strCache>
                <c:ptCount val="1"/>
                <c:pt idx="0">
                  <c:v>Nota</c:v>
                </c:pt>
              </c:strCache>
            </c:strRef>
          </c:tx>
          <c:spPr>
            <a:solidFill>
              <a:schemeClr val="accent1"/>
            </a:solidFill>
            <a:ln>
              <a:noFill/>
            </a:ln>
            <a:effectLst/>
          </c:spPr>
          <c:invertIfNegative val="0"/>
          <c:cat>
            <c:strRef>
              <c:f>Plan!$X$9:$X$14</c:f>
              <c:strCache>
                <c:ptCount val="6"/>
                <c:pt idx="0">
                  <c:v>Causas relacionadas à Medida</c:v>
                </c:pt>
                <c:pt idx="1">
                  <c:v>Causas relacionadas à Mão-de-obra</c:v>
                </c:pt>
                <c:pt idx="2">
                  <c:v>Causas relacionadas aos Métodos</c:v>
                </c:pt>
                <c:pt idx="3">
                  <c:v>Causas relacionadas às Máquinas ou Equipamentos</c:v>
                </c:pt>
                <c:pt idx="4">
                  <c:v>Causas relacionadas aos Materiais</c:v>
                </c:pt>
                <c:pt idx="5">
                  <c:v>Causas relacionadas ao Meio Ambiente</c:v>
                </c:pt>
              </c:strCache>
            </c:strRef>
          </c:cat>
          <c:val>
            <c:numRef>
              <c:f>Plan!$W$9:$W$14</c:f>
              <c:numCache>
                <c:formatCode>0</c:formatCode>
                <c:ptCount val="6"/>
                <c:pt idx="0">
                  <c:v>1.0000026</c:v>
                </c:pt>
                <c:pt idx="1">
                  <c:v>1.0000020999999999</c:v>
                </c:pt>
                <c:pt idx="2">
                  <c:v>1.0000011</c:v>
                </c:pt>
                <c:pt idx="3">
                  <c:v>1.0000000600000001</c:v>
                </c:pt>
                <c:pt idx="4">
                  <c:v>1.0000000099999999</c:v>
                </c:pt>
                <c:pt idx="5">
                  <c:v>1.0000000015999999</c:v>
                </c:pt>
              </c:numCache>
            </c:numRef>
          </c:val>
          <c:extLst xmlns:c16r2="http://schemas.microsoft.com/office/drawing/2015/06/chart">
            <c:ext xmlns:c16="http://schemas.microsoft.com/office/drawing/2014/chart" uri="{C3380CC4-5D6E-409C-BE32-E72D297353CC}">
              <c16:uniqueId val="{00000000-5F0B-4A00-810B-82A77A76403F}"/>
            </c:ext>
          </c:extLst>
        </c:ser>
        <c:dLbls>
          <c:showLegendKey val="0"/>
          <c:showVal val="0"/>
          <c:showCatName val="0"/>
          <c:showSerName val="0"/>
          <c:showPercent val="0"/>
          <c:showBubbleSize val="0"/>
        </c:dLbls>
        <c:gapWidth val="50"/>
        <c:axId val="219635072"/>
        <c:axId val="219649152"/>
      </c:barChart>
      <c:catAx>
        <c:axId val="219635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649152"/>
        <c:crosses val="autoZero"/>
        <c:auto val="1"/>
        <c:lblAlgn val="ctr"/>
        <c:lblOffset val="100"/>
        <c:noMultiLvlLbl val="0"/>
      </c:catAx>
      <c:valAx>
        <c:axId val="219649152"/>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635072"/>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n-lt"/>
                <a:ea typeface="+mj-ea"/>
                <a:cs typeface="+mj-cs"/>
              </a:defRPr>
            </a:pPr>
            <a:r>
              <a:rPr lang="pt-BR" sz="1100" b="0">
                <a:solidFill>
                  <a:schemeClr val="tx1">
                    <a:lumMod val="65000"/>
                    <a:lumOff val="35000"/>
                  </a:schemeClr>
                </a:solidFill>
                <a:latin typeface="+mn-lt"/>
              </a:rPr>
              <a:t>Principais Causas</a:t>
            </a:r>
          </a:p>
        </c:rich>
      </c:tx>
      <c:overlay val="0"/>
      <c:spPr>
        <a:noFill/>
        <a:ln>
          <a:noFill/>
        </a:ln>
        <a:effectLst/>
      </c:spPr>
    </c:title>
    <c:autoTitleDeleted val="0"/>
    <c:plotArea>
      <c:layout/>
      <c:barChart>
        <c:barDir val="col"/>
        <c:grouping val="clustered"/>
        <c:varyColors val="0"/>
        <c:ser>
          <c:idx val="0"/>
          <c:order val="0"/>
          <c:tx>
            <c:strRef>
              <c:f>Plan!$P$8</c:f>
              <c:strCache>
                <c:ptCount val="1"/>
                <c:pt idx="0">
                  <c:v>Causa</c:v>
                </c:pt>
              </c:strCache>
            </c:strRef>
          </c:tx>
          <c:spPr>
            <a:solidFill>
              <a:schemeClr val="accent2"/>
            </a:solidFill>
          </c:spPr>
          <c:invertIfNegative val="0"/>
          <c:cat>
            <c:strRef>
              <c:f>Plan!$P$9:$P$32</c:f>
              <c:strCache>
                <c:ptCount val="6"/>
                <c:pt idx="0">
                  <c:v>Ex.: Inexistencia de Medidores</c:v>
                </c:pt>
                <c:pt idx="1">
                  <c:v>Ex.: Funcionários Desqualificados</c:v>
                </c:pt>
                <c:pt idx="2">
                  <c:v>Ex.: Método Inexistente</c:v>
                </c:pt>
                <c:pt idx="3">
                  <c:v>Ex.: Máquinas sujas</c:v>
                </c:pt>
                <c:pt idx="4">
                  <c:v>Ex.: Quantidade Limitada de Materiais</c:v>
                </c:pt>
                <c:pt idx="5">
                  <c:v>Ex.: Frio Excessivo</c:v>
                </c:pt>
              </c:strCache>
            </c:strRef>
          </c:cat>
          <c:val>
            <c:numRef>
              <c:f>Plan!$O$9:$O$32</c:f>
              <c:numCache>
                <c:formatCode>0</c:formatCode>
                <c:ptCount val="24"/>
                <c:pt idx="0">
                  <c:v>1.0000026</c:v>
                </c:pt>
                <c:pt idx="1">
                  <c:v>1.0000020999999999</c:v>
                </c:pt>
                <c:pt idx="2">
                  <c:v>1.0000011</c:v>
                </c:pt>
                <c:pt idx="3">
                  <c:v>1.0000000600000001</c:v>
                </c:pt>
                <c:pt idx="4">
                  <c:v>1.0000000099999999</c:v>
                </c:pt>
                <c:pt idx="5">
                  <c:v>1.0000000015999999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50"/>
        <c:axId val="219674496"/>
        <c:axId val="219676032"/>
      </c:barChart>
      <c:catAx>
        <c:axId val="21967449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pt-BR"/>
          </a:p>
        </c:txPr>
        <c:crossAx val="219676032"/>
        <c:crosses val="autoZero"/>
        <c:auto val="0"/>
        <c:lblAlgn val="ctr"/>
        <c:lblOffset val="100"/>
        <c:tickMarkSkip val="1"/>
        <c:noMultiLvlLbl val="0"/>
      </c:catAx>
      <c:valAx>
        <c:axId val="219676032"/>
        <c:scaling>
          <c:orientation val="minMax"/>
          <c:max val="1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pt-BR"/>
          </a:p>
        </c:txPr>
        <c:crossAx val="21967449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Status</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3"/>
              </a:solidFill>
              <a:ln>
                <a:noFill/>
              </a:ln>
              <a:effectLst/>
            </c:spPr>
          </c:dPt>
          <c:dPt>
            <c:idx val="1"/>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0-B3ED-4E17-A4CC-271AAAD60D1B}"/>
              </c:ext>
            </c:extLst>
          </c:dPt>
          <c:dPt>
            <c:idx val="2"/>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1-B3ED-4E17-A4CC-271AAAD60D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Che!$K$14:$K$16</c:f>
              <c:strCache>
                <c:ptCount val="3"/>
                <c:pt idx="0">
                  <c:v>Concluído no prazo</c:v>
                </c:pt>
                <c:pt idx="1">
                  <c:v>Concluído com atraso</c:v>
                </c:pt>
                <c:pt idx="2">
                  <c:v>Em andamento</c:v>
                </c:pt>
              </c:strCache>
            </c:strRef>
          </c:cat>
          <c:val>
            <c:numRef>
              <c:f>Che!$K$11:$K$13</c:f>
              <c:numCache>
                <c:formatCode>0%</c:formatCode>
                <c:ptCount val="3"/>
                <c:pt idx="0">
                  <c:v>0.4</c:v>
                </c:pt>
                <c:pt idx="1">
                  <c:v>0.4</c:v>
                </c:pt>
                <c:pt idx="2">
                  <c:v>0.2</c:v>
                </c:pt>
              </c:numCache>
            </c:numRef>
          </c:val>
          <c:extLst xmlns:c16r2="http://schemas.microsoft.com/office/drawing/2015/06/chart">
            <c:ext xmlns:c16="http://schemas.microsoft.com/office/drawing/2014/chart" uri="{C3380CC4-5D6E-409C-BE32-E72D297353CC}">
              <c16:uniqueId val="{00000002-B3ED-4E17-A4CC-271AAAD60D1B}"/>
            </c:ext>
          </c:extLst>
        </c:ser>
        <c:dLbls>
          <c:showLegendKey val="0"/>
          <c:showVal val="0"/>
          <c:showCatName val="0"/>
          <c:showSerName val="0"/>
          <c:showPercent val="0"/>
          <c:showBubbleSize val="0"/>
        </c:dLbls>
        <c:gapWidth val="50"/>
        <c:overlap val="-27"/>
        <c:axId val="218576768"/>
        <c:axId val="218578304"/>
      </c:barChart>
      <c:catAx>
        <c:axId val="218576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18578304"/>
        <c:crosses val="autoZero"/>
        <c:auto val="1"/>
        <c:lblAlgn val="ctr"/>
        <c:lblOffset val="100"/>
        <c:noMultiLvlLbl val="0"/>
      </c:catAx>
      <c:valAx>
        <c:axId val="218578304"/>
        <c:scaling>
          <c:orientation val="minMax"/>
        </c:scaling>
        <c:delete val="1"/>
        <c:axPos val="l"/>
        <c:numFmt formatCode="0%" sourceLinked="1"/>
        <c:majorTickMark val="out"/>
        <c:minorTickMark val="none"/>
        <c:tickLblPos val="nextTo"/>
        <c:crossAx val="2185767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Conformidade com o Planejado</a:t>
            </a:r>
          </a:p>
        </c:rich>
      </c:tx>
      <c:overlay val="0"/>
      <c:spPr>
        <a:noFill/>
        <a:ln>
          <a:noFill/>
        </a:ln>
        <a:effectLst/>
      </c:spPr>
    </c:title>
    <c:autoTitleDeleted val="0"/>
    <c:plotArea>
      <c:layout/>
      <c:barChart>
        <c:barDir val="col"/>
        <c:grouping val="clustered"/>
        <c:varyColors val="0"/>
        <c:ser>
          <c:idx val="0"/>
          <c:order val="0"/>
          <c:spPr>
            <a:solidFill>
              <a:schemeClr val="accent3"/>
            </a:solidFill>
            <a:ln>
              <a:noFill/>
            </a:ln>
            <a:effectLst/>
          </c:spPr>
          <c:invertIfNegative val="0"/>
          <c:dPt>
            <c:idx val="1"/>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0-65C3-480E-A17A-594863E70A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Che!$L$12:$L$13</c:f>
              <c:strCache>
                <c:ptCount val="2"/>
                <c:pt idx="0">
                  <c:v>Sim</c:v>
                </c:pt>
                <c:pt idx="1">
                  <c:v>Não</c:v>
                </c:pt>
              </c:strCache>
            </c:strRef>
          </c:cat>
          <c:val>
            <c:numRef>
              <c:f>Che!$L$10:$L$11</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1-65C3-480E-A17A-594863E70A2F}"/>
            </c:ext>
          </c:extLst>
        </c:ser>
        <c:dLbls>
          <c:showLegendKey val="0"/>
          <c:showVal val="0"/>
          <c:showCatName val="0"/>
          <c:showSerName val="0"/>
          <c:showPercent val="0"/>
          <c:showBubbleSize val="0"/>
        </c:dLbls>
        <c:gapWidth val="50"/>
        <c:overlap val="-27"/>
        <c:axId val="218616576"/>
        <c:axId val="218618112"/>
      </c:barChart>
      <c:catAx>
        <c:axId val="218616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18618112"/>
        <c:crosses val="autoZero"/>
        <c:auto val="1"/>
        <c:lblAlgn val="ctr"/>
        <c:lblOffset val="100"/>
        <c:noMultiLvlLbl val="0"/>
      </c:catAx>
      <c:valAx>
        <c:axId val="218618112"/>
        <c:scaling>
          <c:orientation val="minMax"/>
        </c:scaling>
        <c:delete val="1"/>
        <c:axPos val="l"/>
        <c:numFmt formatCode="0%" sourceLinked="1"/>
        <c:majorTickMark val="out"/>
        <c:minorTickMark val="none"/>
        <c:tickLblPos val="nextTo"/>
        <c:crossAx val="218616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Eficácia</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3"/>
              </a:solidFill>
              <a:ln>
                <a:noFill/>
              </a:ln>
              <a:effectLst/>
            </c:spPr>
          </c:dPt>
          <c:dPt>
            <c:idx val="1"/>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0-BF0E-4B9D-95FC-998F82F7305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Che!$M$12:$M$13</c:f>
              <c:strCache>
                <c:ptCount val="2"/>
                <c:pt idx="0">
                  <c:v>Sim</c:v>
                </c:pt>
                <c:pt idx="1">
                  <c:v>Não</c:v>
                </c:pt>
              </c:strCache>
            </c:strRef>
          </c:cat>
          <c:val>
            <c:numRef>
              <c:f>Che!$M$10:$M$11</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1-BF0E-4B9D-95FC-998F82F73050}"/>
            </c:ext>
          </c:extLst>
        </c:ser>
        <c:dLbls>
          <c:showLegendKey val="0"/>
          <c:showVal val="0"/>
          <c:showCatName val="0"/>
          <c:showSerName val="0"/>
          <c:showPercent val="0"/>
          <c:showBubbleSize val="0"/>
        </c:dLbls>
        <c:gapWidth val="50"/>
        <c:overlap val="-27"/>
        <c:axId val="220491776"/>
        <c:axId val="220493312"/>
      </c:barChart>
      <c:catAx>
        <c:axId val="220491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20493312"/>
        <c:crosses val="autoZero"/>
        <c:auto val="1"/>
        <c:lblAlgn val="ctr"/>
        <c:lblOffset val="100"/>
        <c:noMultiLvlLbl val="0"/>
      </c:catAx>
      <c:valAx>
        <c:axId val="220493312"/>
        <c:scaling>
          <c:orientation val="minMax"/>
        </c:scaling>
        <c:delete val="1"/>
        <c:axPos val="l"/>
        <c:numFmt formatCode="0%" sourceLinked="1"/>
        <c:majorTickMark val="out"/>
        <c:minorTickMark val="none"/>
        <c:tickLblPos val="nextTo"/>
        <c:crossAx val="2204917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aos Materiais</a:t>
            </a:r>
          </a:p>
        </c:rich>
      </c:tx>
      <c:overlay val="0"/>
      <c:spPr>
        <a:noFill/>
        <a:ln>
          <a:noFill/>
        </a:ln>
        <a:effectLst/>
      </c:spPr>
    </c:title>
    <c:autoTitleDeleted val="0"/>
    <c:plotArea>
      <c:layout/>
      <c:barChart>
        <c:barDir val="bar"/>
        <c:grouping val="clustered"/>
        <c:varyColors val="0"/>
        <c:ser>
          <c:idx val="0"/>
          <c:order val="0"/>
          <c:tx>
            <c:strRef>
              <c:f>Plan!$D$9</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Plan!$C$10:$C$14</c:f>
              <c:strCache>
                <c:ptCount val="1"/>
                <c:pt idx="0">
                  <c:v>Ex.: Quantidade Limitada de Materiais</c:v>
                </c:pt>
              </c:strCache>
            </c:strRef>
          </c:cat>
          <c:val>
            <c:numRef>
              <c:f>Plan!$D$10:$D$14</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4B46-4E7D-AD60-CBABD45C41A1}"/>
            </c:ext>
          </c:extLst>
        </c:ser>
        <c:dLbls>
          <c:showLegendKey val="0"/>
          <c:showVal val="0"/>
          <c:showCatName val="0"/>
          <c:showSerName val="0"/>
          <c:showPercent val="0"/>
          <c:showBubbleSize val="0"/>
        </c:dLbls>
        <c:gapWidth val="50"/>
        <c:axId val="220600192"/>
        <c:axId val="220601728"/>
      </c:barChart>
      <c:catAx>
        <c:axId val="220600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601728"/>
        <c:crosses val="autoZero"/>
        <c:auto val="1"/>
        <c:lblAlgn val="ctr"/>
        <c:lblOffset val="100"/>
        <c:noMultiLvlLbl val="0"/>
      </c:catAx>
      <c:valAx>
        <c:axId val="220601728"/>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600192"/>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aos Métodos</a:t>
            </a:r>
          </a:p>
        </c:rich>
      </c:tx>
      <c:overlay val="0"/>
      <c:spPr>
        <a:noFill/>
        <a:ln>
          <a:noFill/>
        </a:ln>
        <a:effectLst/>
      </c:spPr>
    </c:title>
    <c:autoTitleDeleted val="0"/>
    <c:plotArea>
      <c:layout/>
      <c:barChart>
        <c:barDir val="bar"/>
        <c:grouping val="clustered"/>
        <c:varyColors val="0"/>
        <c:ser>
          <c:idx val="0"/>
          <c:order val="0"/>
          <c:tx>
            <c:strRef>
              <c:f>Plan!$G$9</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Plan!$F$10:$F$14</c:f>
              <c:strCache>
                <c:ptCount val="1"/>
                <c:pt idx="0">
                  <c:v>Ex.: Método Inexistente</c:v>
                </c:pt>
              </c:strCache>
            </c:strRef>
          </c:cat>
          <c:val>
            <c:numRef>
              <c:f>Plan!$G$10:$G$14</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95E9-47B7-B6F1-17D413FF6485}"/>
            </c:ext>
          </c:extLst>
        </c:ser>
        <c:dLbls>
          <c:showLegendKey val="0"/>
          <c:showVal val="0"/>
          <c:showCatName val="0"/>
          <c:showSerName val="0"/>
          <c:showPercent val="0"/>
          <c:showBubbleSize val="0"/>
        </c:dLbls>
        <c:gapWidth val="50"/>
        <c:axId val="220639616"/>
        <c:axId val="220641152"/>
      </c:barChart>
      <c:catAx>
        <c:axId val="220639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641152"/>
        <c:crosses val="autoZero"/>
        <c:auto val="1"/>
        <c:lblAlgn val="ctr"/>
        <c:lblOffset val="100"/>
        <c:noMultiLvlLbl val="0"/>
      </c:catAx>
      <c:valAx>
        <c:axId val="220641152"/>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639616"/>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à Mão-de-Obra</a:t>
            </a:r>
          </a:p>
        </c:rich>
      </c:tx>
      <c:overlay val="0"/>
      <c:spPr>
        <a:noFill/>
        <a:ln>
          <a:noFill/>
        </a:ln>
        <a:effectLst/>
      </c:spPr>
    </c:title>
    <c:autoTitleDeleted val="0"/>
    <c:plotArea>
      <c:layout/>
      <c:barChart>
        <c:barDir val="bar"/>
        <c:grouping val="clustered"/>
        <c:varyColors val="0"/>
        <c:ser>
          <c:idx val="0"/>
          <c:order val="0"/>
          <c:tx>
            <c:strRef>
              <c:f>Plan!$J$9</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Plan!$I$10:$I$14</c:f>
              <c:strCache>
                <c:ptCount val="1"/>
                <c:pt idx="0">
                  <c:v>Ex.: Funcionários Desqualificados</c:v>
                </c:pt>
              </c:strCache>
            </c:strRef>
          </c:cat>
          <c:val>
            <c:numRef>
              <c:f>Plan!$J$10:$J$14</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C544-4E35-AEAF-D4F94991F450}"/>
            </c:ext>
          </c:extLst>
        </c:ser>
        <c:dLbls>
          <c:showLegendKey val="0"/>
          <c:showVal val="0"/>
          <c:showCatName val="0"/>
          <c:showSerName val="0"/>
          <c:showPercent val="0"/>
          <c:showBubbleSize val="0"/>
        </c:dLbls>
        <c:gapWidth val="50"/>
        <c:axId val="220690688"/>
        <c:axId val="220696576"/>
      </c:barChart>
      <c:catAx>
        <c:axId val="220690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696576"/>
        <c:crosses val="autoZero"/>
        <c:auto val="1"/>
        <c:lblAlgn val="ctr"/>
        <c:lblOffset val="100"/>
        <c:noMultiLvlLbl val="0"/>
      </c:catAx>
      <c:valAx>
        <c:axId val="22069657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69068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às Máquinas ou Equipamentos</a:t>
            </a:r>
          </a:p>
        </c:rich>
      </c:tx>
      <c:overlay val="0"/>
      <c:spPr>
        <a:noFill/>
        <a:ln>
          <a:noFill/>
        </a:ln>
        <a:effectLst/>
      </c:spPr>
    </c:title>
    <c:autoTitleDeleted val="0"/>
    <c:plotArea>
      <c:layout/>
      <c:barChart>
        <c:barDir val="bar"/>
        <c:grouping val="clustered"/>
        <c:varyColors val="0"/>
        <c:ser>
          <c:idx val="0"/>
          <c:order val="0"/>
          <c:tx>
            <c:strRef>
              <c:f>Plan!$D$18</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Plan!$C$19:$C$23</c:f>
              <c:strCache>
                <c:ptCount val="1"/>
                <c:pt idx="0">
                  <c:v>Ex.: Máquinas sujas</c:v>
                </c:pt>
              </c:strCache>
            </c:strRef>
          </c:cat>
          <c:val>
            <c:numRef>
              <c:f>Plan!$D$19:$D$23</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514A-4D49-8CDA-7583C7BCE20A}"/>
            </c:ext>
          </c:extLst>
        </c:ser>
        <c:dLbls>
          <c:showLegendKey val="0"/>
          <c:showVal val="0"/>
          <c:showCatName val="0"/>
          <c:showSerName val="0"/>
          <c:showPercent val="0"/>
          <c:showBubbleSize val="0"/>
        </c:dLbls>
        <c:gapWidth val="50"/>
        <c:axId val="220742400"/>
        <c:axId val="220743936"/>
      </c:barChart>
      <c:catAx>
        <c:axId val="220742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743936"/>
        <c:crosses val="autoZero"/>
        <c:auto val="1"/>
        <c:lblAlgn val="ctr"/>
        <c:lblOffset val="100"/>
        <c:noMultiLvlLbl val="0"/>
      </c:catAx>
      <c:valAx>
        <c:axId val="22074393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742400"/>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ao Meio Ambiente</a:t>
            </a:r>
          </a:p>
        </c:rich>
      </c:tx>
      <c:overlay val="0"/>
      <c:spPr>
        <a:noFill/>
        <a:ln>
          <a:noFill/>
        </a:ln>
        <a:effectLst/>
      </c:spPr>
    </c:title>
    <c:autoTitleDeleted val="0"/>
    <c:plotArea>
      <c:layout/>
      <c:barChart>
        <c:barDir val="bar"/>
        <c:grouping val="clustered"/>
        <c:varyColors val="0"/>
        <c:ser>
          <c:idx val="0"/>
          <c:order val="0"/>
          <c:tx>
            <c:strRef>
              <c:f>Plan!$G$18</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Plan!$F$19:$F$23</c:f>
              <c:strCache>
                <c:ptCount val="1"/>
                <c:pt idx="0">
                  <c:v>Ex.: Frio Excessivo</c:v>
                </c:pt>
              </c:strCache>
            </c:strRef>
          </c:cat>
          <c:val>
            <c:numRef>
              <c:f>Plan!$G$19:$G$23</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A46D-48CA-8EEE-0F275222EA7C}"/>
            </c:ext>
          </c:extLst>
        </c:ser>
        <c:dLbls>
          <c:showLegendKey val="0"/>
          <c:showVal val="0"/>
          <c:showCatName val="0"/>
          <c:showSerName val="0"/>
          <c:showPercent val="0"/>
          <c:showBubbleSize val="0"/>
        </c:dLbls>
        <c:gapWidth val="50"/>
        <c:axId val="220756992"/>
        <c:axId val="220779264"/>
      </c:barChart>
      <c:catAx>
        <c:axId val="220756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779264"/>
        <c:crosses val="autoZero"/>
        <c:auto val="1"/>
        <c:lblAlgn val="ctr"/>
        <c:lblOffset val="100"/>
        <c:noMultiLvlLbl val="0"/>
      </c:catAx>
      <c:valAx>
        <c:axId val="220779264"/>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756992"/>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0" i="0" u="none" strike="noStrike" kern="1200" spc="0" baseline="0">
                <a:solidFill>
                  <a:sysClr val="windowText" lastClr="000000">
                    <a:lumMod val="65000"/>
                    <a:lumOff val="35000"/>
                  </a:sysClr>
                </a:solidFill>
                <a:latin typeface="+mn-lt"/>
                <a:ea typeface="+mn-ea"/>
                <a:cs typeface="+mn-cs"/>
              </a:defRPr>
            </a:pPr>
            <a:r>
              <a:rPr lang="pt-BR" sz="1100" b="0" i="0" u="none" strike="noStrike" kern="1200" spc="0" baseline="0">
                <a:solidFill>
                  <a:sysClr val="windowText" lastClr="000000">
                    <a:lumMod val="65000"/>
                    <a:lumOff val="35000"/>
                  </a:sysClr>
                </a:solidFill>
                <a:latin typeface="+mn-lt"/>
                <a:ea typeface="+mn-ea"/>
                <a:cs typeface="+mn-cs"/>
              </a:rPr>
              <a:t>Conformidade com o Planejado</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3"/>
              </a:solidFill>
              <a:ln>
                <a:noFill/>
              </a:ln>
              <a:effectLst/>
            </c:spPr>
          </c:dPt>
          <c:dPt>
            <c:idx val="1"/>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0-F704-4DEB-8F97-99357C3F057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Che!$L$12:$L$13</c:f>
              <c:strCache>
                <c:ptCount val="2"/>
                <c:pt idx="0">
                  <c:v>Sim</c:v>
                </c:pt>
                <c:pt idx="1">
                  <c:v>Não</c:v>
                </c:pt>
              </c:strCache>
            </c:strRef>
          </c:cat>
          <c:val>
            <c:numRef>
              <c:f>Che!$L$10:$L$11</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1-F704-4DEB-8F97-99357C3F057A}"/>
            </c:ext>
          </c:extLst>
        </c:ser>
        <c:dLbls>
          <c:showLegendKey val="0"/>
          <c:showVal val="0"/>
          <c:showCatName val="0"/>
          <c:showSerName val="0"/>
          <c:showPercent val="0"/>
          <c:showBubbleSize val="0"/>
        </c:dLbls>
        <c:gapWidth val="50"/>
        <c:overlap val="-27"/>
        <c:axId val="219185536"/>
        <c:axId val="219187072"/>
      </c:barChart>
      <c:catAx>
        <c:axId val="2191855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19187072"/>
        <c:crosses val="autoZero"/>
        <c:auto val="1"/>
        <c:lblAlgn val="ctr"/>
        <c:lblOffset val="100"/>
        <c:noMultiLvlLbl val="0"/>
      </c:catAx>
      <c:valAx>
        <c:axId val="219187072"/>
        <c:scaling>
          <c:orientation val="minMax"/>
        </c:scaling>
        <c:delete val="1"/>
        <c:axPos val="l"/>
        <c:numFmt formatCode="0%" sourceLinked="1"/>
        <c:majorTickMark val="out"/>
        <c:minorTickMark val="none"/>
        <c:tickLblPos val="nextTo"/>
        <c:crossAx val="2191855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Causas Relacionadas à Medida</a:t>
            </a:r>
          </a:p>
        </c:rich>
      </c:tx>
      <c:overlay val="0"/>
      <c:spPr>
        <a:noFill/>
        <a:ln>
          <a:noFill/>
        </a:ln>
        <a:effectLst/>
      </c:spPr>
    </c:title>
    <c:autoTitleDeleted val="0"/>
    <c:plotArea>
      <c:layout/>
      <c:barChart>
        <c:barDir val="bar"/>
        <c:grouping val="clustered"/>
        <c:varyColors val="0"/>
        <c:ser>
          <c:idx val="0"/>
          <c:order val="0"/>
          <c:tx>
            <c:strRef>
              <c:f>Plan!$J$18</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Plan!$I$19:$I$23</c:f>
              <c:strCache>
                <c:ptCount val="1"/>
                <c:pt idx="0">
                  <c:v>Ex.: Inexistencia de Medidores</c:v>
                </c:pt>
              </c:strCache>
            </c:strRef>
          </c:cat>
          <c:val>
            <c:numRef>
              <c:f>Plan!$J$19:$J$23</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0BD7-4510-AFBE-315DFD98255A}"/>
            </c:ext>
          </c:extLst>
        </c:ser>
        <c:dLbls>
          <c:showLegendKey val="0"/>
          <c:showVal val="0"/>
          <c:showCatName val="0"/>
          <c:showSerName val="0"/>
          <c:showPercent val="0"/>
          <c:showBubbleSize val="0"/>
        </c:dLbls>
        <c:gapWidth val="50"/>
        <c:axId val="220939776"/>
        <c:axId val="220941312"/>
      </c:barChart>
      <c:catAx>
        <c:axId val="220939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941312"/>
        <c:crosses val="autoZero"/>
        <c:auto val="1"/>
        <c:lblAlgn val="ctr"/>
        <c:lblOffset val="100"/>
        <c:noMultiLvlLbl val="0"/>
      </c:catAx>
      <c:valAx>
        <c:axId val="220941312"/>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939776"/>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pt-BR" sz="1100"/>
              <a:t>Causas Mais Relevantes</a:t>
            </a:r>
          </a:p>
        </c:rich>
      </c:tx>
      <c:overlay val="0"/>
      <c:spPr>
        <a:noFill/>
        <a:ln>
          <a:noFill/>
        </a:ln>
        <a:effectLst/>
      </c:spPr>
    </c:title>
    <c:autoTitleDeleted val="0"/>
    <c:plotArea>
      <c:layout/>
      <c:barChart>
        <c:barDir val="bar"/>
        <c:grouping val="clustered"/>
        <c:varyColors val="0"/>
        <c:ser>
          <c:idx val="0"/>
          <c:order val="0"/>
          <c:tx>
            <c:strRef>
              <c:f>Plan!$D$9</c:f>
              <c:strCache>
                <c:ptCount val="1"/>
                <c:pt idx="0">
                  <c:v>Nota</c:v>
                </c:pt>
              </c:strCache>
            </c:strRef>
          </c:tx>
          <c:spPr>
            <a:solidFill>
              <a:schemeClr val="accent1"/>
            </a:solidFill>
            <a:ln>
              <a:noFill/>
            </a:ln>
            <a:effectLst/>
          </c:spPr>
          <c:invertIfNegative val="0"/>
          <c:cat>
            <c:strRef>
              <c:f>Plan!$X$9:$X$14</c:f>
              <c:strCache>
                <c:ptCount val="6"/>
                <c:pt idx="0">
                  <c:v>Causas relacionadas à Medida</c:v>
                </c:pt>
                <c:pt idx="1">
                  <c:v>Causas relacionadas à Mão-de-obra</c:v>
                </c:pt>
                <c:pt idx="2">
                  <c:v>Causas relacionadas aos Métodos</c:v>
                </c:pt>
                <c:pt idx="3">
                  <c:v>Causas relacionadas às Máquinas ou Equipamentos</c:v>
                </c:pt>
                <c:pt idx="4">
                  <c:v>Causas relacionadas aos Materiais</c:v>
                </c:pt>
                <c:pt idx="5">
                  <c:v>Causas relacionadas ao Meio Ambiente</c:v>
                </c:pt>
              </c:strCache>
            </c:strRef>
          </c:cat>
          <c:val>
            <c:numRef>
              <c:f>Plan!$W$9:$W$14</c:f>
              <c:numCache>
                <c:formatCode>0</c:formatCode>
                <c:ptCount val="6"/>
                <c:pt idx="0">
                  <c:v>1.0000026</c:v>
                </c:pt>
                <c:pt idx="1">
                  <c:v>1.0000020999999999</c:v>
                </c:pt>
                <c:pt idx="2">
                  <c:v>1.0000011</c:v>
                </c:pt>
                <c:pt idx="3">
                  <c:v>1.0000000600000001</c:v>
                </c:pt>
                <c:pt idx="4">
                  <c:v>1.0000000099999999</c:v>
                </c:pt>
                <c:pt idx="5">
                  <c:v>1.0000000015999999</c:v>
                </c:pt>
              </c:numCache>
            </c:numRef>
          </c:val>
          <c:extLst xmlns:c16r2="http://schemas.microsoft.com/office/drawing/2015/06/chart">
            <c:ext xmlns:c16="http://schemas.microsoft.com/office/drawing/2014/chart" uri="{C3380CC4-5D6E-409C-BE32-E72D297353CC}">
              <c16:uniqueId val="{00000000-5F0B-4A00-810B-82A77A76403F}"/>
            </c:ext>
          </c:extLst>
        </c:ser>
        <c:dLbls>
          <c:showLegendKey val="0"/>
          <c:showVal val="0"/>
          <c:showCatName val="0"/>
          <c:showSerName val="0"/>
          <c:showPercent val="0"/>
          <c:showBubbleSize val="0"/>
        </c:dLbls>
        <c:gapWidth val="50"/>
        <c:axId val="220867968"/>
        <c:axId val="220869760"/>
      </c:barChart>
      <c:catAx>
        <c:axId val="220867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869760"/>
        <c:crosses val="autoZero"/>
        <c:auto val="1"/>
        <c:lblAlgn val="ctr"/>
        <c:lblOffset val="100"/>
        <c:noMultiLvlLbl val="0"/>
      </c:catAx>
      <c:valAx>
        <c:axId val="220869760"/>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208679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none" spc="0" normalizeH="0" baseline="0">
                <a:solidFill>
                  <a:schemeClr val="tx1">
                    <a:lumMod val="65000"/>
                    <a:lumOff val="35000"/>
                  </a:schemeClr>
                </a:solidFill>
                <a:latin typeface="+mn-lt"/>
                <a:ea typeface="+mj-ea"/>
                <a:cs typeface="+mj-cs"/>
              </a:defRPr>
            </a:pPr>
            <a:r>
              <a:rPr lang="pt-BR" sz="1100" b="0">
                <a:solidFill>
                  <a:schemeClr val="tx1">
                    <a:lumMod val="65000"/>
                    <a:lumOff val="35000"/>
                  </a:schemeClr>
                </a:solidFill>
                <a:latin typeface="+mn-lt"/>
              </a:rPr>
              <a:t>Principais Causas</a:t>
            </a:r>
          </a:p>
        </c:rich>
      </c:tx>
      <c:overlay val="0"/>
      <c:spPr>
        <a:noFill/>
        <a:ln>
          <a:noFill/>
        </a:ln>
        <a:effectLst/>
      </c:spPr>
    </c:title>
    <c:autoTitleDeleted val="0"/>
    <c:plotArea>
      <c:layout/>
      <c:barChart>
        <c:barDir val="col"/>
        <c:grouping val="clustered"/>
        <c:varyColors val="0"/>
        <c:ser>
          <c:idx val="0"/>
          <c:order val="0"/>
          <c:tx>
            <c:strRef>
              <c:f>Plan!$P$8</c:f>
              <c:strCache>
                <c:ptCount val="1"/>
                <c:pt idx="0">
                  <c:v>Causa</c:v>
                </c:pt>
              </c:strCache>
            </c:strRef>
          </c:tx>
          <c:spPr>
            <a:solidFill>
              <a:schemeClr val="accent2"/>
            </a:solidFill>
          </c:spPr>
          <c:invertIfNegative val="0"/>
          <c:cat>
            <c:strRef>
              <c:f>Plan!$P$9:$P$32</c:f>
              <c:strCache>
                <c:ptCount val="6"/>
                <c:pt idx="0">
                  <c:v>Ex.: Inexistencia de Medidores</c:v>
                </c:pt>
                <c:pt idx="1">
                  <c:v>Ex.: Funcionários Desqualificados</c:v>
                </c:pt>
                <c:pt idx="2">
                  <c:v>Ex.: Método Inexistente</c:v>
                </c:pt>
                <c:pt idx="3">
                  <c:v>Ex.: Máquinas sujas</c:v>
                </c:pt>
                <c:pt idx="4">
                  <c:v>Ex.: Quantidade Limitada de Materiais</c:v>
                </c:pt>
                <c:pt idx="5">
                  <c:v>Ex.: Frio Excessivo</c:v>
                </c:pt>
              </c:strCache>
            </c:strRef>
          </c:cat>
          <c:val>
            <c:numRef>
              <c:f>Plan!$O$9:$O$32</c:f>
              <c:numCache>
                <c:formatCode>0</c:formatCode>
                <c:ptCount val="24"/>
                <c:pt idx="0">
                  <c:v>1.0000026</c:v>
                </c:pt>
                <c:pt idx="1">
                  <c:v>1.0000020999999999</c:v>
                </c:pt>
                <c:pt idx="2">
                  <c:v>1.0000011</c:v>
                </c:pt>
                <c:pt idx="3">
                  <c:v>1.0000000600000001</c:v>
                </c:pt>
                <c:pt idx="4">
                  <c:v>1.0000000099999999</c:v>
                </c:pt>
                <c:pt idx="5">
                  <c:v>1.0000000015999999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50"/>
        <c:axId val="220886528"/>
        <c:axId val="220888064"/>
      </c:barChart>
      <c:catAx>
        <c:axId val="22088652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800" b="0" i="0" u="none" strike="noStrike" kern="1200" cap="none" spc="0" normalizeH="0" baseline="0">
                <a:solidFill>
                  <a:schemeClr val="dk1">
                    <a:lumMod val="65000"/>
                    <a:lumOff val="35000"/>
                  </a:schemeClr>
                </a:solidFill>
                <a:latin typeface="+mn-lt"/>
                <a:ea typeface="+mn-ea"/>
                <a:cs typeface="+mn-cs"/>
              </a:defRPr>
            </a:pPr>
            <a:endParaRPr lang="pt-BR"/>
          </a:p>
        </c:txPr>
        <c:crossAx val="220888064"/>
        <c:crosses val="autoZero"/>
        <c:auto val="0"/>
        <c:lblAlgn val="ctr"/>
        <c:lblOffset val="100"/>
        <c:tickMarkSkip val="1"/>
        <c:noMultiLvlLbl val="0"/>
      </c:catAx>
      <c:valAx>
        <c:axId val="220888064"/>
        <c:scaling>
          <c:orientation val="minMax"/>
          <c:max val="1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pt-BR"/>
          </a:p>
        </c:txPr>
        <c:crossAx val="22088652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rot="0" vert="horz"/>
          <a:lstStyle/>
          <a:p>
            <a:pPr>
              <a:defRPr sz="1100" b="0"/>
            </a:pPr>
            <a:r>
              <a:rPr lang="pt-BR" sz="1100" b="0"/>
              <a:t>Consolidado das ações por status</a:t>
            </a:r>
          </a:p>
        </c:rich>
      </c:tx>
      <c:layout/>
      <c:overlay val="0"/>
    </c:title>
    <c:autoTitleDeleted val="0"/>
    <c:plotArea>
      <c:layout/>
      <c:pieChart>
        <c:varyColors val="1"/>
        <c:ser>
          <c:idx val="0"/>
          <c:order val="0"/>
          <c:dPt>
            <c:idx val="0"/>
            <c:bubble3D val="0"/>
            <c:spPr>
              <a:solidFill>
                <a:schemeClr val="accent3"/>
              </a:solidFill>
            </c:spPr>
          </c:dPt>
          <c:dPt>
            <c:idx val="1"/>
            <c:bubble3D val="0"/>
            <c:extLst xmlns:c16r2="http://schemas.microsoft.com/office/drawing/2015/06/chart">
              <c:ext xmlns:c16="http://schemas.microsoft.com/office/drawing/2014/chart" uri="{C3380CC4-5D6E-409C-BE32-E72D297353CC}">
                <c16:uniqueId val="{00000000-9B83-452F-942F-CDF5035310BB}"/>
              </c:ext>
            </c:extLst>
          </c:dPt>
          <c:dPt>
            <c:idx val="2"/>
            <c:bubble3D val="0"/>
            <c:spPr>
              <a:solidFill>
                <a:schemeClr val="bg1">
                  <a:lumMod val="75000"/>
                </a:schemeClr>
              </a:solidFill>
            </c:spPr>
            <c:extLst xmlns:c16r2="http://schemas.microsoft.com/office/drawing/2015/06/chart">
              <c:ext xmlns:c16="http://schemas.microsoft.com/office/drawing/2014/chart" uri="{C3380CC4-5D6E-409C-BE32-E72D297353CC}">
                <c16:uniqueId val="{00000001-9B83-452F-942F-CDF5035310BB}"/>
              </c:ext>
            </c:extLst>
          </c:dPt>
          <c:dLbls>
            <c:spPr>
              <a:solidFill>
                <a:schemeClr val="bg1"/>
              </a:solidFill>
            </c:spPr>
            <c:txPr>
              <a:bodyPr rot="0" vert="horz"/>
              <a:lstStyle/>
              <a:p>
                <a:pPr>
                  <a:defRPr/>
                </a:pPr>
                <a:endParaRPr lang="pt-BR"/>
              </a:p>
            </c:txPr>
            <c:dLblPos val="in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showLeaderLines val="0"/>
              </c:ext>
            </c:extLst>
          </c:dLbls>
          <c:cat>
            <c:strRef>
              <c:f>Che!$K$14:$K$16</c:f>
              <c:strCache>
                <c:ptCount val="3"/>
                <c:pt idx="0">
                  <c:v>Concluído no prazo</c:v>
                </c:pt>
                <c:pt idx="1">
                  <c:v>Concluído com atraso</c:v>
                </c:pt>
                <c:pt idx="2">
                  <c:v>Em andamento</c:v>
                </c:pt>
              </c:strCache>
            </c:strRef>
          </c:cat>
          <c:val>
            <c:numRef>
              <c:f>Che!$K$11:$K$13</c:f>
              <c:numCache>
                <c:formatCode>0%</c:formatCode>
                <c:ptCount val="3"/>
                <c:pt idx="0">
                  <c:v>0.4</c:v>
                </c:pt>
                <c:pt idx="1">
                  <c:v>0.4</c:v>
                </c:pt>
                <c:pt idx="2">
                  <c:v>0.2</c:v>
                </c:pt>
              </c:numCache>
            </c:numRef>
          </c:val>
          <c:extLst xmlns:c16r2="http://schemas.microsoft.com/office/drawing/2015/06/chart">
            <c:ext xmlns:c16="http://schemas.microsoft.com/office/drawing/2014/chart" uri="{C3380CC4-5D6E-409C-BE32-E72D297353CC}">
              <c16:uniqueId val="{00000002-9B83-452F-942F-CDF5035310BB}"/>
            </c:ext>
          </c:extLst>
        </c:ser>
        <c:dLbls>
          <c:dLblPos val="inEnd"/>
          <c:showLegendKey val="0"/>
          <c:showVal val="1"/>
          <c:showCatName val="0"/>
          <c:showSerName val="0"/>
          <c:showPercent val="0"/>
          <c:showBubbleSize val="0"/>
          <c:showLeaderLines val="1"/>
        </c:dLbls>
        <c:firstSliceAng val="0"/>
      </c:pieChart>
    </c:plotArea>
    <c:legend>
      <c:legendPos val="r"/>
      <c:layout/>
      <c:overlay val="0"/>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0" i="0" u="none" strike="noStrike" kern="1200" spc="0" baseline="0">
                <a:solidFill>
                  <a:sysClr val="windowText" lastClr="000000"/>
                </a:solidFill>
                <a:latin typeface="+mn-lt"/>
                <a:ea typeface="+mn-ea"/>
                <a:cs typeface="+mn-cs"/>
              </a:defRPr>
            </a:pPr>
            <a:r>
              <a:rPr lang="pt-BR" sz="1100" b="0" i="0" u="none" strike="noStrike" kern="1200" spc="0" baseline="0">
                <a:solidFill>
                  <a:sysClr val="windowText" lastClr="000000"/>
                </a:solidFill>
                <a:latin typeface="+mn-lt"/>
                <a:ea typeface="+mn-ea"/>
                <a:cs typeface="+mn-cs"/>
              </a:rPr>
              <a:t>Conformidade ações com o Planejado</a:t>
            </a:r>
          </a:p>
        </c:rich>
      </c:tx>
      <c:layout/>
      <c:overlay val="0"/>
      <c:spPr>
        <a:noFill/>
        <a:ln>
          <a:noFill/>
        </a:ln>
        <a:effectLst/>
      </c:spPr>
    </c:title>
    <c:autoTitleDeleted val="0"/>
    <c:plotArea>
      <c:layout>
        <c:manualLayout>
          <c:layoutTarget val="inner"/>
          <c:xMode val="edge"/>
          <c:yMode val="edge"/>
          <c:x val="0.22531877240143369"/>
          <c:y val="0.13320811965811966"/>
          <c:w val="0.44266285842293901"/>
          <c:h val="0.8444645299145298"/>
        </c:manualLayout>
      </c:layout>
      <c:doughnutChart>
        <c:varyColors val="1"/>
        <c:ser>
          <c:idx val="0"/>
          <c:order val="0"/>
          <c:spPr>
            <a:solidFill>
              <a:schemeClr val="accent1"/>
            </a:solidFill>
            <a:ln>
              <a:solidFill>
                <a:schemeClr val="bg1"/>
              </a:solidFill>
            </a:ln>
            <a:effectLst/>
          </c:spPr>
          <c:dPt>
            <c:idx val="0"/>
            <c:bubble3D val="0"/>
            <c:spPr>
              <a:solidFill>
                <a:schemeClr val="accent3"/>
              </a:solidFill>
              <a:ln>
                <a:solidFill>
                  <a:schemeClr val="bg1"/>
                </a:solidFill>
              </a:ln>
              <a:effectLst/>
            </c:spPr>
          </c:dPt>
          <c:dPt>
            <c:idx val="1"/>
            <c:bubble3D val="0"/>
            <c:spPr>
              <a:solidFill>
                <a:schemeClr val="accent2"/>
              </a:solidFill>
              <a:ln>
                <a:solidFill>
                  <a:schemeClr val="bg1"/>
                </a:solidFill>
              </a:ln>
              <a:effectLst/>
            </c:spPr>
            <c:extLst xmlns:c16r2="http://schemas.microsoft.com/office/drawing/2015/06/chart">
              <c:ext xmlns:c16="http://schemas.microsoft.com/office/drawing/2014/chart" uri="{C3380CC4-5D6E-409C-BE32-E72D297353CC}">
                <c16:uniqueId val="{00000000-F704-4DEB-8F97-99357C3F057A}"/>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showLeaderLines val="0"/>
              </c:ext>
            </c:extLst>
          </c:dLbls>
          <c:cat>
            <c:strRef>
              <c:f>Che!$L$12:$L$13</c:f>
              <c:strCache>
                <c:ptCount val="2"/>
                <c:pt idx="0">
                  <c:v>Sim</c:v>
                </c:pt>
                <c:pt idx="1">
                  <c:v>Não</c:v>
                </c:pt>
              </c:strCache>
            </c:strRef>
          </c:cat>
          <c:val>
            <c:numRef>
              <c:f>Che!$L$10:$L$11</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1-F704-4DEB-8F97-99357C3F057A}"/>
            </c:ext>
          </c:extLst>
        </c:ser>
        <c:dLbls>
          <c:showLegendKey val="0"/>
          <c:showVal val="1"/>
          <c:showCatName val="0"/>
          <c:showSerName val="0"/>
          <c:showPercent val="0"/>
          <c:showBubbleSize val="0"/>
          <c:showLeaderLines val="1"/>
        </c:dLbls>
        <c:firstSliceAng val="0"/>
        <c:holeSize val="40"/>
      </c:doughnutChart>
      <c:spPr>
        <a:noFill/>
        <a:ln w="25400">
          <a:noFill/>
        </a:ln>
      </c:spPr>
    </c:plotArea>
    <c:legend>
      <c:legendPos val="r"/>
      <c:layout/>
      <c:overlay val="0"/>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0" i="0" u="none" strike="noStrike" kern="1200" spc="0" baseline="0">
                <a:solidFill>
                  <a:sysClr val="windowText" lastClr="000000"/>
                </a:solidFill>
                <a:latin typeface="+mn-lt"/>
                <a:ea typeface="+mn-ea"/>
                <a:cs typeface="+mn-cs"/>
              </a:defRPr>
            </a:pPr>
            <a:r>
              <a:rPr lang="pt-BR" sz="1100" b="0" i="0" u="none" strike="noStrike" kern="1200" spc="0" baseline="0">
                <a:solidFill>
                  <a:sysClr val="windowText" lastClr="000000"/>
                </a:solidFill>
                <a:latin typeface="+mn-lt"/>
                <a:ea typeface="+mn-ea"/>
                <a:cs typeface="+mn-cs"/>
              </a:rPr>
              <a:t>Eficácia das ações</a:t>
            </a:r>
          </a:p>
        </c:rich>
      </c:tx>
      <c:layout/>
      <c:overlay val="0"/>
      <c:spPr>
        <a:noFill/>
        <a:ln>
          <a:noFill/>
        </a:ln>
        <a:effectLst/>
      </c:spPr>
    </c:title>
    <c:autoTitleDeleted val="0"/>
    <c:plotArea>
      <c:layout>
        <c:manualLayout>
          <c:layoutTarget val="inner"/>
          <c:xMode val="edge"/>
          <c:yMode val="edge"/>
          <c:x val="0.22531877240143369"/>
          <c:y val="0.14949017094017095"/>
          <c:w val="0.43412791218637986"/>
          <c:h val="0.82818247863247851"/>
        </c:manualLayout>
      </c:layout>
      <c:doughnutChart>
        <c:varyColors val="1"/>
        <c:ser>
          <c:idx val="0"/>
          <c:order val="0"/>
          <c:spPr>
            <a:solidFill>
              <a:schemeClr val="accent3"/>
            </a:solidFill>
            <a:ln>
              <a:solidFill>
                <a:schemeClr val="bg1"/>
              </a:solidFill>
            </a:ln>
            <a:effectLst/>
          </c:spPr>
          <c:dPt>
            <c:idx val="1"/>
            <c:bubble3D val="0"/>
            <c:spPr>
              <a:solidFill>
                <a:schemeClr val="accent2"/>
              </a:solidFill>
              <a:ln>
                <a:solidFill>
                  <a:schemeClr val="bg1"/>
                </a:solidFill>
              </a:ln>
              <a:effectLst/>
            </c:spPr>
            <c:extLst xmlns:c16r2="http://schemas.microsoft.com/office/drawing/2015/06/chart">
              <c:ext xmlns:c16="http://schemas.microsoft.com/office/drawing/2014/chart" uri="{C3380CC4-5D6E-409C-BE32-E72D297353CC}">
                <c16:uniqueId val="{00000000-2463-4C30-A509-A96A14760364}"/>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showLeaderLines val="0"/>
              </c:ext>
            </c:extLst>
          </c:dLbls>
          <c:cat>
            <c:strRef>
              <c:f>Che!$M$12:$M$13</c:f>
              <c:strCache>
                <c:ptCount val="2"/>
                <c:pt idx="0">
                  <c:v>Sim</c:v>
                </c:pt>
                <c:pt idx="1">
                  <c:v>Não</c:v>
                </c:pt>
              </c:strCache>
            </c:strRef>
          </c:cat>
          <c:val>
            <c:numRef>
              <c:f>Che!$M$10:$M$11</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1-2463-4C30-A509-A96A14760364}"/>
            </c:ext>
          </c:extLst>
        </c:ser>
        <c:dLbls>
          <c:showLegendKey val="0"/>
          <c:showVal val="1"/>
          <c:showCatName val="0"/>
          <c:showSerName val="0"/>
          <c:showPercent val="0"/>
          <c:showBubbleSize val="0"/>
          <c:showLeaderLines val="1"/>
        </c:dLbls>
        <c:firstSliceAng val="0"/>
        <c:holeSize val="40"/>
      </c:doughnutChart>
      <c:spPr>
        <a:noFill/>
        <a:ln w="25400">
          <a:noFill/>
        </a:ln>
      </c:spPr>
    </c:plotArea>
    <c:legend>
      <c:legendPos val="r"/>
      <c:layout/>
      <c:overlay val="0"/>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100" b="0"/>
            </a:pPr>
            <a:r>
              <a:rPr lang="en-US" sz="1100" b="0"/>
              <a:t>Total</a:t>
            </a:r>
            <a:r>
              <a:rPr lang="en-US" sz="1100" b="0" baseline="0"/>
              <a:t> de causas por grupo</a:t>
            </a:r>
            <a:endParaRPr lang="en-US" sz="1100" b="0"/>
          </a:p>
        </c:rich>
      </c:tx>
      <c:layout/>
      <c:overlay val="0"/>
    </c:title>
    <c:autoTitleDeleted val="0"/>
    <c:plotArea>
      <c:layout/>
      <c:pieChart>
        <c:varyColors val="1"/>
        <c:ser>
          <c:idx val="0"/>
          <c:order val="0"/>
          <c:tx>
            <c:v>Causa</c:v>
          </c:tx>
          <c:dLbls>
            <c:spPr>
              <a:solidFill>
                <a:schemeClr val="bg1"/>
              </a:solidFill>
            </c:spPr>
            <c:dLblPos val="inEnd"/>
            <c:showLegendKey val="0"/>
            <c:showVal val="1"/>
            <c:showCatName val="0"/>
            <c:showSerName val="0"/>
            <c:showPercent val="1"/>
            <c:showBubbleSize val="0"/>
            <c:showLeaderLines val="1"/>
          </c:dLbls>
          <c:cat>
            <c:strRef>
              <c:f>Plan!$R$10:$R$15</c:f>
              <c:strCache>
                <c:ptCount val="6"/>
                <c:pt idx="0">
                  <c:v>Causas relacionadas aos Materiais</c:v>
                </c:pt>
                <c:pt idx="1">
                  <c:v>Causas relacionadas aos Métodos</c:v>
                </c:pt>
                <c:pt idx="2">
                  <c:v>Causas relacionadas à Mão-de-obra</c:v>
                </c:pt>
                <c:pt idx="3">
                  <c:v>Causas relacionadas às Máquinas ou Equipamentos</c:v>
                </c:pt>
                <c:pt idx="4">
                  <c:v>Causas relacionadas ao Meio Ambiente</c:v>
                </c:pt>
                <c:pt idx="5">
                  <c:v>Causas relacionadas à Medida</c:v>
                </c:pt>
              </c:strCache>
            </c:strRef>
          </c:cat>
          <c:val>
            <c:numRef>
              <c:f>Plan!$Q$10:$Q$15</c:f>
              <c:numCache>
                <c:formatCode>General</c:formatCode>
                <c:ptCount val="6"/>
                <c:pt idx="0">
                  <c:v>1</c:v>
                </c:pt>
                <c:pt idx="1">
                  <c:v>1</c:v>
                </c:pt>
                <c:pt idx="2">
                  <c:v>1</c:v>
                </c:pt>
                <c:pt idx="3">
                  <c:v>1</c:v>
                </c:pt>
                <c:pt idx="4">
                  <c:v>1</c:v>
                </c:pt>
                <c:pt idx="5">
                  <c:v>1</c:v>
                </c:pt>
              </c:numCache>
            </c:numRef>
          </c:val>
        </c:ser>
        <c:dLbls>
          <c:dLblPos val="inEnd"/>
          <c:showLegendKey val="0"/>
          <c:showVal val="1"/>
          <c:showCatName val="0"/>
          <c:showSerName val="0"/>
          <c:showPercent val="0"/>
          <c:showBubbleSize val="0"/>
          <c:showLeaderLines val="1"/>
        </c:dLbls>
        <c:firstSliceAng val="0"/>
      </c:pieChart>
    </c:plotArea>
    <c:legend>
      <c:legendPos val="b"/>
      <c:layout/>
      <c:overlay val="0"/>
      <c:txPr>
        <a:bodyPr/>
        <a:lstStyle/>
        <a:p>
          <a:pPr>
            <a:defRPr sz="1000"/>
          </a:pPr>
          <a:endParaRPr lang="pt-BR"/>
        </a:p>
      </c:txPr>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sz="1100" b="0"/>
              <a:t>Ranking das causas por nota</a:t>
            </a:r>
          </a:p>
        </c:rich>
      </c:tx>
      <c:layout/>
      <c:overlay val="0"/>
    </c:title>
    <c:autoTitleDeleted val="0"/>
    <c:plotArea>
      <c:layout/>
      <c:barChart>
        <c:barDir val="bar"/>
        <c:grouping val="clustered"/>
        <c:varyColors val="0"/>
        <c:ser>
          <c:idx val="0"/>
          <c:order val="0"/>
          <c:tx>
            <c:v>Causa</c:v>
          </c:tx>
          <c:invertIfNegative val="0"/>
          <c:cat>
            <c:strRef>
              <c:f>Plan!$X$9:$X$14</c:f>
              <c:strCache>
                <c:ptCount val="6"/>
                <c:pt idx="0">
                  <c:v>Causas relacionadas à Medida</c:v>
                </c:pt>
                <c:pt idx="1">
                  <c:v>Causas relacionadas à Mão-de-obra</c:v>
                </c:pt>
                <c:pt idx="2">
                  <c:v>Causas relacionadas aos Métodos</c:v>
                </c:pt>
                <c:pt idx="3">
                  <c:v>Causas relacionadas às Máquinas ou Equipamentos</c:v>
                </c:pt>
                <c:pt idx="4">
                  <c:v>Causas relacionadas aos Materiais</c:v>
                </c:pt>
                <c:pt idx="5">
                  <c:v>Causas relacionadas ao Meio Ambiente</c:v>
                </c:pt>
              </c:strCache>
            </c:strRef>
          </c:cat>
          <c:val>
            <c:numRef>
              <c:f>Plan!$W$9:$W$14</c:f>
              <c:numCache>
                <c:formatCode>0</c:formatCode>
                <c:ptCount val="6"/>
                <c:pt idx="0">
                  <c:v>1.0000026</c:v>
                </c:pt>
                <c:pt idx="1">
                  <c:v>1.0000020999999999</c:v>
                </c:pt>
                <c:pt idx="2">
                  <c:v>1.0000011</c:v>
                </c:pt>
                <c:pt idx="3">
                  <c:v>1.0000000600000001</c:v>
                </c:pt>
                <c:pt idx="4">
                  <c:v>1.0000000099999999</c:v>
                </c:pt>
                <c:pt idx="5">
                  <c:v>1.0000000015999999</c:v>
                </c:pt>
              </c:numCache>
            </c:numRef>
          </c:val>
        </c:ser>
        <c:dLbls>
          <c:dLblPos val="inEnd"/>
          <c:showLegendKey val="0"/>
          <c:showVal val="1"/>
          <c:showCatName val="0"/>
          <c:showSerName val="0"/>
          <c:showPercent val="0"/>
          <c:showBubbleSize val="0"/>
        </c:dLbls>
        <c:gapWidth val="50"/>
        <c:axId val="220428928"/>
        <c:axId val="220430720"/>
      </c:barChart>
      <c:catAx>
        <c:axId val="220428928"/>
        <c:scaling>
          <c:orientation val="maxMin"/>
        </c:scaling>
        <c:delete val="0"/>
        <c:axPos val="l"/>
        <c:majorTickMark val="out"/>
        <c:minorTickMark val="none"/>
        <c:tickLblPos val="nextTo"/>
        <c:crossAx val="220430720"/>
        <c:crosses val="autoZero"/>
        <c:auto val="1"/>
        <c:lblAlgn val="ctr"/>
        <c:lblOffset val="100"/>
        <c:noMultiLvlLbl val="0"/>
      </c:catAx>
      <c:valAx>
        <c:axId val="220430720"/>
        <c:scaling>
          <c:orientation val="minMax"/>
        </c:scaling>
        <c:delete val="1"/>
        <c:axPos val="t"/>
        <c:majorGridlines/>
        <c:numFmt formatCode="0" sourceLinked="1"/>
        <c:majorTickMark val="out"/>
        <c:minorTickMark val="none"/>
        <c:tickLblPos val="nextTo"/>
        <c:crossAx val="220428928"/>
        <c:crosses val="autoZero"/>
        <c:crossBetween val="between"/>
      </c:valAx>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0" i="0" u="none" strike="noStrike" kern="1200" spc="0" baseline="0">
                <a:solidFill>
                  <a:sysClr val="windowText" lastClr="000000">
                    <a:lumMod val="65000"/>
                    <a:lumOff val="35000"/>
                  </a:sysClr>
                </a:solidFill>
                <a:latin typeface="+mn-lt"/>
                <a:ea typeface="+mn-ea"/>
                <a:cs typeface="+mn-cs"/>
              </a:defRPr>
            </a:pPr>
            <a:r>
              <a:rPr lang="pt-BR" sz="1100" b="0" i="0" u="none" strike="noStrike" kern="1200" spc="0" baseline="0">
                <a:solidFill>
                  <a:sysClr val="windowText" lastClr="000000">
                    <a:lumMod val="65000"/>
                    <a:lumOff val="35000"/>
                  </a:sysClr>
                </a:solidFill>
                <a:latin typeface="+mn-lt"/>
                <a:ea typeface="+mn-ea"/>
                <a:cs typeface="+mn-cs"/>
              </a:rPr>
              <a:t>Eficácia</a:t>
            </a:r>
          </a:p>
        </c:rich>
      </c:tx>
      <c:overlay val="0"/>
      <c:spPr>
        <a:noFill/>
        <a:ln>
          <a:noFill/>
        </a:ln>
        <a:effectLst/>
      </c:spPr>
    </c:title>
    <c:autoTitleDeleted val="0"/>
    <c:plotArea>
      <c:layout/>
      <c:barChart>
        <c:barDir val="col"/>
        <c:grouping val="clustered"/>
        <c:varyColors val="0"/>
        <c:ser>
          <c:idx val="0"/>
          <c:order val="0"/>
          <c:spPr>
            <a:solidFill>
              <a:schemeClr val="accent3"/>
            </a:solidFill>
            <a:ln>
              <a:noFill/>
            </a:ln>
            <a:effectLst/>
          </c:spPr>
          <c:invertIfNegative val="0"/>
          <c:dPt>
            <c:idx val="1"/>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0-2463-4C30-A509-A96A147603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Che!$M$12:$M$13</c:f>
              <c:strCache>
                <c:ptCount val="2"/>
                <c:pt idx="0">
                  <c:v>Sim</c:v>
                </c:pt>
                <c:pt idx="1">
                  <c:v>Não</c:v>
                </c:pt>
              </c:strCache>
            </c:strRef>
          </c:cat>
          <c:val>
            <c:numRef>
              <c:f>Che!$M$10:$M$11</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1-2463-4C30-A509-A96A14760364}"/>
            </c:ext>
          </c:extLst>
        </c:ser>
        <c:dLbls>
          <c:showLegendKey val="0"/>
          <c:showVal val="0"/>
          <c:showCatName val="0"/>
          <c:showSerName val="0"/>
          <c:showPercent val="0"/>
          <c:showBubbleSize val="0"/>
        </c:dLbls>
        <c:gapWidth val="50"/>
        <c:overlap val="-27"/>
        <c:axId val="219200512"/>
        <c:axId val="219026176"/>
      </c:barChart>
      <c:catAx>
        <c:axId val="219200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19026176"/>
        <c:crosses val="autoZero"/>
        <c:auto val="1"/>
        <c:lblAlgn val="ctr"/>
        <c:lblOffset val="100"/>
        <c:noMultiLvlLbl val="0"/>
      </c:catAx>
      <c:valAx>
        <c:axId val="219026176"/>
        <c:scaling>
          <c:orientation val="minMax"/>
        </c:scaling>
        <c:delete val="1"/>
        <c:axPos val="l"/>
        <c:numFmt formatCode="0%" sourceLinked="1"/>
        <c:majorTickMark val="out"/>
        <c:minorTickMark val="none"/>
        <c:tickLblPos val="nextTo"/>
        <c:crossAx val="2192005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aos Materiais</a:t>
            </a:r>
          </a:p>
        </c:rich>
      </c:tx>
      <c:layout/>
      <c:overlay val="0"/>
      <c:spPr>
        <a:noFill/>
        <a:ln>
          <a:noFill/>
        </a:ln>
        <a:effectLst/>
      </c:spPr>
    </c:title>
    <c:autoTitleDeleted val="0"/>
    <c:plotArea>
      <c:layout/>
      <c:barChart>
        <c:barDir val="bar"/>
        <c:grouping val="clustered"/>
        <c:varyColors val="0"/>
        <c:ser>
          <c:idx val="0"/>
          <c:order val="0"/>
          <c:tx>
            <c:strRef>
              <c:f>Plan!$D$9</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Plan!$C$10:$C$14</c:f>
              <c:strCache>
                <c:ptCount val="1"/>
                <c:pt idx="0">
                  <c:v>Ex.: Quantidade Limitada de Materiais</c:v>
                </c:pt>
              </c:strCache>
            </c:strRef>
          </c:cat>
          <c:val>
            <c:numRef>
              <c:f>Plan!$D$10:$D$14</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4B46-4E7D-AD60-CBABD45C41A1}"/>
            </c:ext>
          </c:extLst>
        </c:ser>
        <c:dLbls>
          <c:showLegendKey val="0"/>
          <c:showVal val="0"/>
          <c:showCatName val="0"/>
          <c:showSerName val="0"/>
          <c:showPercent val="0"/>
          <c:showBubbleSize val="0"/>
        </c:dLbls>
        <c:gapWidth val="50"/>
        <c:axId val="219048576"/>
        <c:axId val="219062656"/>
      </c:barChart>
      <c:catAx>
        <c:axId val="219048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062656"/>
        <c:crosses val="autoZero"/>
        <c:auto val="1"/>
        <c:lblAlgn val="ctr"/>
        <c:lblOffset val="100"/>
        <c:noMultiLvlLbl val="0"/>
      </c:catAx>
      <c:valAx>
        <c:axId val="21906265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048576"/>
        <c:crosses val="autoZero"/>
        <c:crossBetween val="between"/>
      </c:valAx>
      <c:spPr>
        <a:noFill/>
        <a:ln w="25400">
          <a:noFill/>
        </a:ln>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aos Métodos</a:t>
            </a:r>
          </a:p>
        </c:rich>
      </c:tx>
      <c:layout/>
      <c:overlay val="0"/>
      <c:spPr>
        <a:noFill/>
        <a:ln>
          <a:noFill/>
        </a:ln>
        <a:effectLst/>
      </c:spPr>
    </c:title>
    <c:autoTitleDeleted val="0"/>
    <c:plotArea>
      <c:layout/>
      <c:barChart>
        <c:barDir val="bar"/>
        <c:grouping val="clustered"/>
        <c:varyColors val="0"/>
        <c:ser>
          <c:idx val="0"/>
          <c:order val="0"/>
          <c:tx>
            <c:strRef>
              <c:f>Plan!$G$9</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Plan!$F$10:$F$14</c:f>
              <c:strCache>
                <c:ptCount val="1"/>
                <c:pt idx="0">
                  <c:v>Ex.: Método Inexistente</c:v>
                </c:pt>
              </c:strCache>
            </c:strRef>
          </c:cat>
          <c:val>
            <c:numRef>
              <c:f>Plan!$G$10:$G$14</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95E9-47B7-B6F1-17D413FF6485}"/>
            </c:ext>
          </c:extLst>
        </c:ser>
        <c:dLbls>
          <c:showLegendKey val="0"/>
          <c:showVal val="0"/>
          <c:showCatName val="0"/>
          <c:showSerName val="0"/>
          <c:showPercent val="0"/>
          <c:showBubbleSize val="0"/>
        </c:dLbls>
        <c:gapWidth val="50"/>
        <c:axId val="219776512"/>
        <c:axId val="219778048"/>
      </c:barChart>
      <c:catAx>
        <c:axId val="219776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778048"/>
        <c:crosses val="autoZero"/>
        <c:auto val="1"/>
        <c:lblAlgn val="ctr"/>
        <c:lblOffset val="100"/>
        <c:noMultiLvlLbl val="0"/>
      </c:catAx>
      <c:valAx>
        <c:axId val="219778048"/>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776512"/>
        <c:crosses val="autoZero"/>
        <c:crossBetween val="between"/>
      </c:valAx>
      <c:spPr>
        <a:noFill/>
        <a:ln w="25400">
          <a:noFill/>
        </a:ln>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à Mão-de-Obra</a:t>
            </a:r>
          </a:p>
        </c:rich>
      </c:tx>
      <c:layout/>
      <c:overlay val="0"/>
      <c:spPr>
        <a:noFill/>
        <a:ln>
          <a:noFill/>
        </a:ln>
        <a:effectLst/>
      </c:spPr>
    </c:title>
    <c:autoTitleDeleted val="0"/>
    <c:plotArea>
      <c:layout/>
      <c:barChart>
        <c:barDir val="bar"/>
        <c:grouping val="clustered"/>
        <c:varyColors val="0"/>
        <c:ser>
          <c:idx val="0"/>
          <c:order val="0"/>
          <c:tx>
            <c:strRef>
              <c:f>Plan!$J$9</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Plan!$I$10:$I$14</c:f>
              <c:strCache>
                <c:ptCount val="1"/>
                <c:pt idx="0">
                  <c:v>Ex.: Funcionários Desqualificados</c:v>
                </c:pt>
              </c:strCache>
            </c:strRef>
          </c:cat>
          <c:val>
            <c:numRef>
              <c:f>Plan!$J$10:$J$14</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C544-4E35-AEAF-D4F94991F450}"/>
            </c:ext>
          </c:extLst>
        </c:ser>
        <c:dLbls>
          <c:showLegendKey val="0"/>
          <c:showVal val="0"/>
          <c:showCatName val="0"/>
          <c:showSerName val="0"/>
          <c:showPercent val="0"/>
          <c:showBubbleSize val="0"/>
        </c:dLbls>
        <c:gapWidth val="50"/>
        <c:axId val="219492352"/>
        <c:axId val="219493888"/>
      </c:barChart>
      <c:catAx>
        <c:axId val="219492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493888"/>
        <c:crosses val="autoZero"/>
        <c:auto val="1"/>
        <c:lblAlgn val="ctr"/>
        <c:lblOffset val="100"/>
        <c:noMultiLvlLbl val="0"/>
      </c:catAx>
      <c:valAx>
        <c:axId val="219493888"/>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492352"/>
        <c:crosses val="autoZero"/>
        <c:crossBetween val="between"/>
      </c:valAx>
      <c:spPr>
        <a:noFill/>
        <a:ln w="25400">
          <a:noFill/>
        </a:ln>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às Máquinas ou Equipamentos</a:t>
            </a:r>
          </a:p>
        </c:rich>
      </c:tx>
      <c:layout/>
      <c:overlay val="0"/>
      <c:spPr>
        <a:noFill/>
        <a:ln>
          <a:noFill/>
        </a:ln>
        <a:effectLst/>
      </c:spPr>
    </c:title>
    <c:autoTitleDeleted val="0"/>
    <c:plotArea>
      <c:layout/>
      <c:barChart>
        <c:barDir val="bar"/>
        <c:grouping val="clustered"/>
        <c:varyColors val="0"/>
        <c:ser>
          <c:idx val="0"/>
          <c:order val="0"/>
          <c:tx>
            <c:strRef>
              <c:f>Plan!$D$18</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Plan!$C$19:$C$23</c:f>
              <c:strCache>
                <c:ptCount val="1"/>
                <c:pt idx="0">
                  <c:v>Ex.: Máquinas sujas</c:v>
                </c:pt>
              </c:strCache>
            </c:strRef>
          </c:cat>
          <c:val>
            <c:numRef>
              <c:f>Plan!$D$19:$D$23</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514A-4D49-8CDA-7583C7BCE20A}"/>
            </c:ext>
          </c:extLst>
        </c:ser>
        <c:dLbls>
          <c:showLegendKey val="0"/>
          <c:showVal val="0"/>
          <c:showCatName val="0"/>
          <c:showSerName val="0"/>
          <c:showPercent val="0"/>
          <c:showBubbleSize val="0"/>
        </c:dLbls>
        <c:gapWidth val="50"/>
        <c:axId val="219529984"/>
        <c:axId val="219531520"/>
      </c:barChart>
      <c:catAx>
        <c:axId val="219529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531520"/>
        <c:crosses val="autoZero"/>
        <c:auto val="1"/>
        <c:lblAlgn val="ctr"/>
        <c:lblOffset val="100"/>
        <c:noMultiLvlLbl val="0"/>
      </c:catAx>
      <c:valAx>
        <c:axId val="219531520"/>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529984"/>
        <c:crosses val="autoZero"/>
        <c:crossBetween val="between"/>
      </c:valAx>
      <c:spPr>
        <a:noFill/>
        <a:ln w="25400">
          <a:noFill/>
        </a:ln>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100" b="0" i="0" u="none" strike="noStrike" kern="1200" spc="0" baseline="0">
                <a:solidFill>
                  <a:sysClr val="windowText" lastClr="000000">
                    <a:lumMod val="65000"/>
                    <a:lumOff val="35000"/>
                  </a:sysClr>
                </a:solidFill>
                <a:latin typeface="+mn-lt"/>
                <a:ea typeface="+mn-ea"/>
                <a:cs typeface="+mn-cs"/>
              </a:defRPr>
            </a:pPr>
            <a:r>
              <a:rPr lang="en-US" sz="1100" b="0" i="0" u="none" strike="noStrike" kern="1200" spc="0" baseline="0">
                <a:solidFill>
                  <a:sysClr val="windowText" lastClr="000000">
                    <a:lumMod val="65000"/>
                    <a:lumOff val="35000"/>
                  </a:sysClr>
                </a:solidFill>
                <a:latin typeface="+mn-lt"/>
                <a:ea typeface="+mn-ea"/>
                <a:cs typeface="+mn-cs"/>
              </a:rPr>
              <a:t>Causas Relacionadas ao Meio Ambiente</a:t>
            </a:r>
          </a:p>
        </c:rich>
      </c:tx>
      <c:layout/>
      <c:overlay val="0"/>
      <c:spPr>
        <a:noFill/>
        <a:ln>
          <a:noFill/>
        </a:ln>
        <a:effectLst/>
      </c:spPr>
    </c:title>
    <c:autoTitleDeleted val="0"/>
    <c:plotArea>
      <c:layout/>
      <c:barChart>
        <c:barDir val="bar"/>
        <c:grouping val="clustered"/>
        <c:varyColors val="0"/>
        <c:ser>
          <c:idx val="0"/>
          <c:order val="0"/>
          <c:tx>
            <c:strRef>
              <c:f>Plan!$G$18</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Plan!$F$19:$F$23</c:f>
              <c:strCache>
                <c:ptCount val="1"/>
                <c:pt idx="0">
                  <c:v>Ex.: Frio Excessivo</c:v>
                </c:pt>
              </c:strCache>
            </c:strRef>
          </c:cat>
          <c:val>
            <c:numRef>
              <c:f>Plan!$G$19:$G$23</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A46D-48CA-8EEE-0F275222EA7C}"/>
            </c:ext>
          </c:extLst>
        </c:ser>
        <c:dLbls>
          <c:showLegendKey val="0"/>
          <c:showVal val="0"/>
          <c:showCatName val="0"/>
          <c:showSerName val="0"/>
          <c:showPercent val="0"/>
          <c:showBubbleSize val="0"/>
        </c:dLbls>
        <c:gapWidth val="50"/>
        <c:axId val="219556480"/>
        <c:axId val="219566464"/>
      </c:barChart>
      <c:catAx>
        <c:axId val="219556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566464"/>
        <c:crosses val="autoZero"/>
        <c:auto val="1"/>
        <c:lblAlgn val="ctr"/>
        <c:lblOffset val="100"/>
        <c:noMultiLvlLbl val="0"/>
      </c:catAx>
      <c:valAx>
        <c:axId val="219566464"/>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556480"/>
        <c:crosses val="autoZero"/>
        <c:crossBetween val="between"/>
      </c:valAx>
      <c:spPr>
        <a:noFill/>
        <a:ln w="25400">
          <a:noFill/>
        </a:ln>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Causas Relacionadas à Medida</a:t>
            </a:r>
          </a:p>
        </c:rich>
      </c:tx>
      <c:layout/>
      <c:overlay val="0"/>
      <c:spPr>
        <a:noFill/>
        <a:ln>
          <a:noFill/>
        </a:ln>
        <a:effectLst/>
      </c:spPr>
    </c:title>
    <c:autoTitleDeleted val="0"/>
    <c:plotArea>
      <c:layout/>
      <c:barChart>
        <c:barDir val="bar"/>
        <c:grouping val="clustered"/>
        <c:varyColors val="0"/>
        <c:ser>
          <c:idx val="0"/>
          <c:order val="0"/>
          <c:tx>
            <c:strRef>
              <c:f>Plan!$J$18</c:f>
              <c:strCache>
                <c:ptCount val="1"/>
                <c:pt idx="0">
                  <c:v>Nota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Plan!$I$19:$I$23</c:f>
              <c:strCache>
                <c:ptCount val="1"/>
                <c:pt idx="0">
                  <c:v>Ex.: Inexistencia de Medidores</c:v>
                </c:pt>
              </c:strCache>
            </c:strRef>
          </c:cat>
          <c:val>
            <c:numRef>
              <c:f>Plan!$J$19:$J$23</c:f>
              <c:numCache>
                <c:formatCode>General</c:formatCode>
                <c:ptCount val="5"/>
                <c:pt idx="0">
                  <c:v>1</c:v>
                </c:pt>
              </c:numCache>
            </c:numRef>
          </c:val>
          <c:extLst xmlns:c16r2="http://schemas.microsoft.com/office/drawing/2015/06/chart">
            <c:ext xmlns:c16="http://schemas.microsoft.com/office/drawing/2014/chart" uri="{C3380CC4-5D6E-409C-BE32-E72D297353CC}">
              <c16:uniqueId val="{00000000-0BD7-4510-AFBE-315DFD98255A}"/>
            </c:ext>
          </c:extLst>
        </c:ser>
        <c:dLbls>
          <c:showLegendKey val="0"/>
          <c:showVal val="0"/>
          <c:showCatName val="0"/>
          <c:showSerName val="0"/>
          <c:showPercent val="0"/>
          <c:showBubbleSize val="0"/>
        </c:dLbls>
        <c:gapWidth val="50"/>
        <c:axId val="219608192"/>
        <c:axId val="219609728"/>
      </c:barChart>
      <c:catAx>
        <c:axId val="219608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609728"/>
        <c:crosses val="autoZero"/>
        <c:auto val="1"/>
        <c:lblAlgn val="ctr"/>
        <c:lblOffset val="100"/>
        <c:noMultiLvlLbl val="0"/>
      </c:catAx>
      <c:valAx>
        <c:axId val="219609728"/>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9608192"/>
        <c:crosses val="autoZero"/>
        <c:crossBetween val="between"/>
      </c:valAx>
      <c:spPr>
        <a:noFill/>
        <a:ln w="25400">
          <a:noFill/>
        </a:ln>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https://www.youtube.com/watch?v=puFFWYZhklE&amp;list=PLrfhJOPFAvcs2N40MBd2jXCYwvrPljrJ1&amp;index=3" TargetMode="External"/><Relationship Id="rId13" Type="http://schemas.openxmlformats.org/officeDocument/2006/relationships/hyperlink" Target="#Ale!A1"/><Relationship Id="rId3" Type="http://schemas.openxmlformats.org/officeDocument/2006/relationships/hyperlink" Target="#Rel!A1"/><Relationship Id="rId7" Type="http://schemas.openxmlformats.org/officeDocument/2006/relationships/image" Target="../media/image1.png"/><Relationship Id="rId12" Type="http://schemas.openxmlformats.org/officeDocument/2006/relationships/image" Target="../media/image2.jpeg"/><Relationship Id="rId2" Type="http://schemas.openxmlformats.org/officeDocument/2006/relationships/hyperlink" Target="#Gra!A1"/><Relationship Id="rId16" Type="http://schemas.openxmlformats.org/officeDocument/2006/relationships/hyperlink" Target="#Sou!A1"/><Relationship Id="rId1" Type="http://schemas.openxmlformats.org/officeDocument/2006/relationships/hyperlink" Target="#Plan!A1"/><Relationship Id="rId6" Type="http://schemas.openxmlformats.org/officeDocument/2006/relationships/hyperlink" Target="https://www.youtube.com/watch?v=xPmBZgNUvxg&amp;list=PLrfhJOPFAvcs2N40MBd2jXCYwvrPljrJ1&amp;index=2" TargetMode="External"/><Relationship Id="rId11" Type="http://schemas.openxmlformats.org/officeDocument/2006/relationships/hyperlink" Target="https://www.youtube.com/watch?v=jyH0r9gxkOg&amp;list=PLrfhJOPFAvcs2N40MBd2jXCYwvrPljrJ1&amp;index=6" TargetMode="External"/><Relationship Id="rId5" Type="http://schemas.openxmlformats.org/officeDocument/2006/relationships/hyperlink" Target="#Duv!A1"/><Relationship Id="rId15" Type="http://schemas.openxmlformats.org/officeDocument/2006/relationships/hyperlink" Target="#Sug!A1"/><Relationship Id="rId10" Type="http://schemas.openxmlformats.org/officeDocument/2006/relationships/hyperlink" Target="https://www.youtube.com/watch?v=8kWTtAq6Bxs&amp;list=PLrfhJOPFAvcs2N40MBd2jXCYwvrPljrJ1&amp;index=5" TargetMode="External"/><Relationship Id="rId4" Type="http://schemas.openxmlformats.org/officeDocument/2006/relationships/hyperlink" Target="#Ini!A1"/><Relationship Id="rId9" Type="http://schemas.openxmlformats.org/officeDocument/2006/relationships/hyperlink" Target="https://www.youtube.com/watch?v=YZgGI4dNBKw&amp;list=PLrfhJOPFAvcs2N40MBd2jXCYwvrPljrJ1&amp;index=4" TargetMode="External"/><Relationship Id="rId14" Type="http://schemas.openxmlformats.org/officeDocument/2006/relationships/hyperlink" Target="#Das!A1"/></Relationships>
</file>

<file path=xl/drawings/_rels/drawing10.xml.rels><?xml version="1.0" encoding="UTF-8" standalone="yes"?>
<Relationships xmlns="http://schemas.openxmlformats.org/package/2006/relationships"><Relationship Id="rId8" Type="http://schemas.openxmlformats.org/officeDocument/2006/relationships/hyperlink" Target="#Das!A1"/><Relationship Id="rId3" Type="http://schemas.openxmlformats.org/officeDocument/2006/relationships/hyperlink" Target="#Gra!A1"/><Relationship Id="rId7" Type="http://schemas.openxmlformats.org/officeDocument/2006/relationships/hyperlink" Target="#Ale!A1"/><Relationship Id="rId2" Type="http://schemas.openxmlformats.org/officeDocument/2006/relationships/hyperlink" Target="#Plan!A1"/><Relationship Id="rId1" Type="http://schemas.openxmlformats.org/officeDocument/2006/relationships/image" Target="../media/image11.png"/><Relationship Id="rId6" Type="http://schemas.openxmlformats.org/officeDocument/2006/relationships/image" Target="../media/image2.jpeg"/><Relationship Id="rId5" Type="http://schemas.openxmlformats.org/officeDocument/2006/relationships/hyperlink" Target="#Ini!A1"/><Relationship Id="rId4" Type="http://schemas.openxmlformats.org/officeDocument/2006/relationships/hyperlink" Target="#Rel!A1"/></Relationships>
</file>

<file path=xl/drawings/_rels/drawing11.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hyperlink" Target="#Plan!A1"/><Relationship Id="rId18" Type="http://schemas.openxmlformats.org/officeDocument/2006/relationships/hyperlink" Target="#Ale!A1"/><Relationship Id="rId3" Type="http://schemas.openxmlformats.org/officeDocument/2006/relationships/chart" Target="../charts/chart14.xml"/><Relationship Id="rId7" Type="http://schemas.openxmlformats.org/officeDocument/2006/relationships/chart" Target="../charts/chart17.xml"/><Relationship Id="rId12" Type="http://schemas.openxmlformats.org/officeDocument/2006/relationships/chart" Target="../charts/chart22.xml"/><Relationship Id="rId17" Type="http://schemas.openxmlformats.org/officeDocument/2006/relationships/image" Target="../media/image2.jpeg"/><Relationship Id="rId2" Type="http://schemas.openxmlformats.org/officeDocument/2006/relationships/chart" Target="../charts/chart13.xml"/><Relationship Id="rId16" Type="http://schemas.openxmlformats.org/officeDocument/2006/relationships/hyperlink" Target="#Ini!A1"/><Relationship Id="rId1" Type="http://schemas.openxmlformats.org/officeDocument/2006/relationships/chart" Target="../charts/chart12.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hyperlink" Target="#Rel!A1"/><Relationship Id="rId10" Type="http://schemas.openxmlformats.org/officeDocument/2006/relationships/chart" Target="../charts/chart20.xml"/><Relationship Id="rId19" Type="http://schemas.openxmlformats.org/officeDocument/2006/relationships/hyperlink" Target="#Das!A1"/><Relationship Id="rId4" Type="http://schemas.openxmlformats.org/officeDocument/2006/relationships/image" Target="../media/image11.png"/><Relationship Id="rId9" Type="http://schemas.openxmlformats.org/officeDocument/2006/relationships/chart" Target="../charts/chart19.xml"/><Relationship Id="rId14" Type="http://schemas.openxmlformats.org/officeDocument/2006/relationships/hyperlink" Target="#Gra!A1"/></Relationships>
</file>

<file path=xl/drawings/_rels/drawing12.xml.rels><?xml version="1.0" encoding="UTF-8" standalone="yes"?>
<Relationships xmlns="http://schemas.openxmlformats.org/package/2006/relationships"><Relationship Id="rId8" Type="http://schemas.openxmlformats.org/officeDocument/2006/relationships/hyperlink" Target="#Rel!A1"/><Relationship Id="rId3" Type="http://schemas.openxmlformats.org/officeDocument/2006/relationships/chart" Target="../charts/chart25.xml"/><Relationship Id="rId7" Type="http://schemas.openxmlformats.org/officeDocument/2006/relationships/hyperlink" Target="#Gra!A1"/><Relationship Id="rId12" Type="http://schemas.openxmlformats.org/officeDocument/2006/relationships/hyperlink" Target="#Das!A1"/><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hyperlink" Target="#Plan!A1"/><Relationship Id="rId11" Type="http://schemas.openxmlformats.org/officeDocument/2006/relationships/hyperlink" Target="#Ale!A1"/><Relationship Id="rId5" Type="http://schemas.openxmlformats.org/officeDocument/2006/relationships/chart" Target="../charts/chart27.xml"/><Relationship Id="rId10" Type="http://schemas.openxmlformats.org/officeDocument/2006/relationships/image" Target="../media/image2.jpeg"/><Relationship Id="rId4" Type="http://schemas.openxmlformats.org/officeDocument/2006/relationships/chart" Target="../charts/chart26.xml"/><Relationship Id="rId9" Type="http://schemas.openxmlformats.org/officeDocument/2006/relationships/hyperlink" Target="#Ini!A1"/></Relationships>
</file>

<file path=xl/drawings/_rels/drawing2.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hyperlink" Target="#Sug!A1"/><Relationship Id="rId7" Type="http://schemas.openxmlformats.org/officeDocument/2006/relationships/hyperlink" Target="#Rel!A1"/><Relationship Id="rId2" Type="http://schemas.openxmlformats.org/officeDocument/2006/relationships/hyperlink" Target="#Duv!A1"/><Relationship Id="rId1" Type="http://schemas.openxmlformats.org/officeDocument/2006/relationships/hyperlink" Target="#Ini!A1"/><Relationship Id="rId6" Type="http://schemas.openxmlformats.org/officeDocument/2006/relationships/hyperlink" Target="#Gra!A1"/><Relationship Id="rId5" Type="http://schemas.openxmlformats.org/officeDocument/2006/relationships/hyperlink" Target="#Plan!A1"/><Relationship Id="rId10" Type="http://schemas.openxmlformats.org/officeDocument/2006/relationships/hyperlink" Target="#Das!A1"/><Relationship Id="rId4" Type="http://schemas.openxmlformats.org/officeDocument/2006/relationships/hyperlink" Target="#Sou!A1"/><Relationship Id="rId9" Type="http://schemas.openxmlformats.org/officeDocument/2006/relationships/hyperlink" Target="#Ale!A1"/></Relationships>
</file>

<file path=xl/drawings/_rels/drawing3.xml.rels><?xml version="1.0" encoding="UTF-8" standalone="yes"?>
<Relationships xmlns="http://schemas.openxmlformats.org/package/2006/relationships"><Relationship Id="rId8" Type="http://schemas.openxmlformats.org/officeDocument/2006/relationships/image" Target="../media/image4.JPG"/><Relationship Id="rId13" Type="http://schemas.openxmlformats.org/officeDocument/2006/relationships/hyperlink" Target="#Ale!A1"/><Relationship Id="rId3" Type="http://schemas.openxmlformats.org/officeDocument/2006/relationships/hyperlink" Target="#Ini!A1"/><Relationship Id="rId7" Type="http://schemas.openxmlformats.org/officeDocument/2006/relationships/hyperlink" Target="https://souza.xyz/produto/pacote-de-planilhas-de-gestao-de-processos/" TargetMode="External"/><Relationship Id="rId12" Type="http://schemas.openxmlformats.org/officeDocument/2006/relationships/image" Target="../media/image2.jpeg"/><Relationship Id="rId2" Type="http://schemas.openxmlformats.org/officeDocument/2006/relationships/image" Target="../media/image3.JPG"/><Relationship Id="rId1" Type="http://schemas.openxmlformats.org/officeDocument/2006/relationships/hyperlink" Target="https://souza.xyz/produto/pacote-com-todas-as-planilhas-da-souza-promocao-2019/" TargetMode="External"/><Relationship Id="rId6" Type="http://schemas.openxmlformats.org/officeDocument/2006/relationships/hyperlink" Target="#Sou!A1"/><Relationship Id="rId11" Type="http://schemas.openxmlformats.org/officeDocument/2006/relationships/hyperlink" Target="#Rel!A1"/><Relationship Id="rId5" Type="http://schemas.openxmlformats.org/officeDocument/2006/relationships/hyperlink" Target="#Sug!A1"/><Relationship Id="rId10" Type="http://schemas.openxmlformats.org/officeDocument/2006/relationships/hyperlink" Target="#Gra!A1"/><Relationship Id="rId4" Type="http://schemas.openxmlformats.org/officeDocument/2006/relationships/hyperlink" Target="#Duv!A1"/><Relationship Id="rId9" Type="http://schemas.openxmlformats.org/officeDocument/2006/relationships/hyperlink" Target="#Plan!A1"/><Relationship Id="rId14" Type="http://schemas.openxmlformats.org/officeDocument/2006/relationships/hyperlink" Target="#Das!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hyperlink" Target="#Sug!A1"/><Relationship Id="rId18" Type="http://schemas.openxmlformats.org/officeDocument/2006/relationships/image" Target="../media/image2.jpeg"/><Relationship Id="rId3" Type="http://schemas.openxmlformats.org/officeDocument/2006/relationships/hyperlink" Target="https://www.instagram.com/souza_sistemas/" TargetMode="External"/><Relationship Id="rId7" Type="http://schemas.openxmlformats.org/officeDocument/2006/relationships/hyperlink" Target="https://www.youtube.com/c/FlavioSouza3350/featured" TargetMode="External"/><Relationship Id="rId12" Type="http://schemas.openxmlformats.org/officeDocument/2006/relationships/hyperlink" Target="#Duv!A1"/><Relationship Id="rId17" Type="http://schemas.openxmlformats.org/officeDocument/2006/relationships/hyperlink" Target="#Rel!A1"/><Relationship Id="rId2" Type="http://schemas.openxmlformats.org/officeDocument/2006/relationships/image" Target="../media/image5.png"/><Relationship Id="rId16" Type="http://schemas.openxmlformats.org/officeDocument/2006/relationships/hyperlink" Target="#Gra!A1"/><Relationship Id="rId20" Type="http://schemas.openxmlformats.org/officeDocument/2006/relationships/hyperlink" Target="#Das!A1"/><Relationship Id="rId1" Type="http://schemas.openxmlformats.org/officeDocument/2006/relationships/hyperlink" Target="https://souza.xyz/loja/" TargetMode="External"/><Relationship Id="rId6" Type="http://schemas.openxmlformats.org/officeDocument/2006/relationships/image" Target="../media/image7.png"/><Relationship Id="rId11" Type="http://schemas.openxmlformats.org/officeDocument/2006/relationships/hyperlink" Target="#Ini!A1"/><Relationship Id="rId5" Type="http://schemas.openxmlformats.org/officeDocument/2006/relationships/hyperlink" Target="https://www.facebook.com/souzasistemas" TargetMode="External"/><Relationship Id="rId15" Type="http://schemas.openxmlformats.org/officeDocument/2006/relationships/hyperlink" Target="#Plan!A1"/><Relationship Id="rId10" Type="http://schemas.openxmlformats.org/officeDocument/2006/relationships/image" Target="../media/image9.png"/><Relationship Id="rId19" Type="http://schemas.openxmlformats.org/officeDocument/2006/relationships/hyperlink" Target="#Ale!A1"/><Relationship Id="rId4" Type="http://schemas.openxmlformats.org/officeDocument/2006/relationships/image" Target="../media/image6.png"/><Relationship Id="rId9" Type="http://schemas.openxmlformats.org/officeDocument/2006/relationships/hyperlink" Target="http://blog.souza.xyz/" TargetMode="External"/><Relationship Id="rId14" Type="http://schemas.openxmlformats.org/officeDocument/2006/relationships/hyperlink" Target="#Sou!A1"/></Relationships>
</file>

<file path=xl/drawings/_rels/drawing5.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hyperlink" Target="#Act!A1"/><Relationship Id="rId7" Type="http://schemas.openxmlformats.org/officeDocument/2006/relationships/hyperlink" Target="#Ini!A1"/><Relationship Id="rId2" Type="http://schemas.openxmlformats.org/officeDocument/2006/relationships/hyperlink" Target="#Do!A1"/><Relationship Id="rId1" Type="http://schemas.openxmlformats.org/officeDocument/2006/relationships/hyperlink" Target="#Plan!A1"/><Relationship Id="rId6" Type="http://schemas.openxmlformats.org/officeDocument/2006/relationships/hyperlink" Target="#Rel!A1"/><Relationship Id="rId5" Type="http://schemas.openxmlformats.org/officeDocument/2006/relationships/hyperlink" Target="#Gra!A1"/><Relationship Id="rId10" Type="http://schemas.openxmlformats.org/officeDocument/2006/relationships/hyperlink" Target="#Das!A1"/><Relationship Id="rId4" Type="http://schemas.openxmlformats.org/officeDocument/2006/relationships/hyperlink" Target="#Che!A1"/><Relationship Id="rId9" Type="http://schemas.openxmlformats.org/officeDocument/2006/relationships/hyperlink" Target="#Ale!A1"/></Relationships>
</file>

<file path=xl/drawings/_rels/drawing6.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hyperlink" Target="#Act!A1"/><Relationship Id="rId7" Type="http://schemas.openxmlformats.org/officeDocument/2006/relationships/hyperlink" Target="#Ini!A1"/><Relationship Id="rId2" Type="http://schemas.openxmlformats.org/officeDocument/2006/relationships/hyperlink" Target="#Do!A1"/><Relationship Id="rId1" Type="http://schemas.openxmlformats.org/officeDocument/2006/relationships/hyperlink" Target="#Plan!A1"/><Relationship Id="rId6" Type="http://schemas.openxmlformats.org/officeDocument/2006/relationships/hyperlink" Target="#Rel!A1"/><Relationship Id="rId5" Type="http://schemas.openxmlformats.org/officeDocument/2006/relationships/hyperlink" Target="#Gra!A1"/><Relationship Id="rId10" Type="http://schemas.openxmlformats.org/officeDocument/2006/relationships/hyperlink" Target="#Das!A1"/><Relationship Id="rId4" Type="http://schemas.openxmlformats.org/officeDocument/2006/relationships/hyperlink" Target="#Che!A1"/><Relationship Id="rId9" Type="http://schemas.openxmlformats.org/officeDocument/2006/relationships/hyperlink" Target="#Ale!A1"/></Relationships>
</file>

<file path=xl/drawings/_rels/drawing7.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hyperlink" Target="#Act!A1"/><Relationship Id="rId7" Type="http://schemas.openxmlformats.org/officeDocument/2006/relationships/hyperlink" Target="#Ini!A1"/><Relationship Id="rId2" Type="http://schemas.openxmlformats.org/officeDocument/2006/relationships/hyperlink" Target="#Do!A1"/><Relationship Id="rId1" Type="http://schemas.openxmlformats.org/officeDocument/2006/relationships/hyperlink" Target="#Plan!A1"/><Relationship Id="rId6" Type="http://schemas.openxmlformats.org/officeDocument/2006/relationships/hyperlink" Target="#Rel!A1"/><Relationship Id="rId5" Type="http://schemas.openxmlformats.org/officeDocument/2006/relationships/hyperlink" Target="#Gra!A1"/><Relationship Id="rId10" Type="http://schemas.openxmlformats.org/officeDocument/2006/relationships/hyperlink" Target="#Das!A1"/><Relationship Id="rId4" Type="http://schemas.openxmlformats.org/officeDocument/2006/relationships/hyperlink" Target="#Che!A1"/><Relationship Id="rId9" Type="http://schemas.openxmlformats.org/officeDocument/2006/relationships/hyperlink" Target="#Ale!A1"/></Relationships>
</file>

<file path=xl/drawings/_rels/drawing8.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hyperlink" Target="#Act!A1"/><Relationship Id="rId7" Type="http://schemas.openxmlformats.org/officeDocument/2006/relationships/hyperlink" Target="#Ini!A1"/><Relationship Id="rId2" Type="http://schemas.openxmlformats.org/officeDocument/2006/relationships/hyperlink" Target="#Do!A1"/><Relationship Id="rId1" Type="http://schemas.openxmlformats.org/officeDocument/2006/relationships/hyperlink" Target="#Plan!A1"/><Relationship Id="rId6" Type="http://schemas.openxmlformats.org/officeDocument/2006/relationships/hyperlink" Target="#Rel!A1"/><Relationship Id="rId5" Type="http://schemas.openxmlformats.org/officeDocument/2006/relationships/hyperlink" Target="#Gra!A1"/><Relationship Id="rId10" Type="http://schemas.openxmlformats.org/officeDocument/2006/relationships/hyperlink" Target="#Das!A1"/><Relationship Id="rId4" Type="http://schemas.openxmlformats.org/officeDocument/2006/relationships/hyperlink" Target="#Che!A1"/><Relationship Id="rId9" Type="http://schemas.openxmlformats.org/officeDocument/2006/relationships/hyperlink" Target="#Ale!A1"/></Relationships>
</file>

<file path=xl/drawings/_rels/drawing9.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hyperlink" Target="#Plan!A1"/><Relationship Id="rId18" Type="http://schemas.openxmlformats.org/officeDocument/2006/relationships/hyperlink" Target="#Ale!A1"/><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0.png"/><Relationship Id="rId17" Type="http://schemas.openxmlformats.org/officeDocument/2006/relationships/image" Target="../media/image2.jpeg"/><Relationship Id="rId2" Type="http://schemas.openxmlformats.org/officeDocument/2006/relationships/chart" Target="../charts/chart2.xml"/><Relationship Id="rId16" Type="http://schemas.openxmlformats.org/officeDocument/2006/relationships/hyperlink" Target="#Ini!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hyperlink" Target="#Rel!A1"/><Relationship Id="rId10" Type="http://schemas.openxmlformats.org/officeDocument/2006/relationships/chart" Target="../charts/chart10.xml"/><Relationship Id="rId19" Type="http://schemas.openxmlformats.org/officeDocument/2006/relationships/hyperlink" Target="#Das!A1"/><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hyperlink" Target="#Gra!A1"/></Relationships>
</file>

<file path=xl/drawings/drawing1.xml><?xml version="1.0" encoding="utf-8"?>
<xdr:wsDr xmlns:xdr="http://schemas.openxmlformats.org/drawingml/2006/spreadsheetDrawing" xmlns:a="http://schemas.openxmlformats.org/drawingml/2006/main">
  <xdr:twoCellAnchor editAs="absolute">
    <xdr:from>
      <xdr:col>2</xdr:col>
      <xdr:colOff>417781</xdr:colOff>
      <xdr:row>0</xdr:row>
      <xdr:rowOff>0</xdr:rowOff>
    </xdr:from>
    <xdr:to>
      <xdr:col>2</xdr:col>
      <xdr:colOff>1481940</xdr:colOff>
      <xdr:row>1</xdr:row>
      <xdr:rowOff>15000</xdr:rowOff>
    </xdr:to>
    <xdr:sp macro="" textlink="">
      <xdr:nvSpPr>
        <xdr:cNvPr id="2" name="Retângulo 1">
          <a:hlinkClick xmlns:r="http://schemas.openxmlformats.org/officeDocument/2006/relationships" r:id="rId1"/>
          <a:extLst>
            <a:ext uri="{FF2B5EF4-FFF2-40B4-BE49-F238E27FC236}">
              <a16:creationId xmlns="" xmlns:a16="http://schemas.microsoft.com/office/drawing/2014/main" id="{59780814-C7F9-4922-9F89-14605BB9382F}"/>
            </a:ext>
          </a:extLst>
        </xdr:cNvPr>
        <xdr:cNvSpPr/>
      </xdr:nvSpPr>
      <xdr:spPr>
        <a:xfrm>
          <a:off x="2351356" y="0"/>
          <a:ext cx="1064159"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2</xdr:col>
      <xdr:colOff>1553106</xdr:colOff>
      <xdr:row>0</xdr:row>
      <xdr:rowOff>0</xdr:rowOff>
    </xdr:from>
    <xdr:to>
      <xdr:col>3</xdr:col>
      <xdr:colOff>211667</xdr:colOff>
      <xdr:row>1</xdr:row>
      <xdr:rowOff>15000</xdr:rowOff>
    </xdr:to>
    <xdr:sp macro="" textlink="">
      <xdr:nvSpPr>
        <xdr:cNvPr id="3" name="Retângulo 2">
          <a:hlinkClick xmlns:r="http://schemas.openxmlformats.org/officeDocument/2006/relationships" r:id="rId2"/>
          <a:extLst>
            <a:ext uri="{FF2B5EF4-FFF2-40B4-BE49-F238E27FC236}">
              <a16:creationId xmlns="" xmlns:a16="http://schemas.microsoft.com/office/drawing/2014/main" id="{4D6D05B1-42C8-47E2-90C8-8606C977F2FF}"/>
            </a:ext>
          </a:extLst>
        </xdr:cNvPr>
        <xdr:cNvSpPr/>
      </xdr:nvSpPr>
      <xdr:spPr>
        <a:xfrm>
          <a:off x="3486681"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5</xdr:col>
      <xdr:colOff>171444</xdr:colOff>
      <xdr:row>0</xdr:row>
      <xdr:rowOff>0</xdr:rowOff>
    </xdr:from>
    <xdr:to>
      <xdr:col>6</xdr:col>
      <xdr:colOff>606952</xdr:colOff>
      <xdr:row>1</xdr:row>
      <xdr:rowOff>15000</xdr:rowOff>
    </xdr:to>
    <xdr:sp macro="" textlink="">
      <xdr:nvSpPr>
        <xdr:cNvPr id="4" name="Retângulo 3">
          <a:hlinkClick xmlns:r="http://schemas.openxmlformats.org/officeDocument/2006/relationships" r:id="rId3"/>
          <a:extLst>
            <a:ext uri="{FF2B5EF4-FFF2-40B4-BE49-F238E27FC236}">
              <a16:creationId xmlns="" xmlns:a16="http://schemas.microsoft.com/office/drawing/2014/main" id="{8B667718-2F2C-484E-9D8C-4658B16D3488}"/>
            </a:ext>
          </a:extLst>
        </xdr:cNvPr>
        <xdr:cNvSpPr/>
      </xdr:nvSpPr>
      <xdr:spPr>
        <a:xfrm>
          <a:off x="5829294"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8</xdr:col>
      <xdr:colOff>576252</xdr:colOff>
      <xdr:row>0</xdr:row>
      <xdr:rowOff>0</xdr:rowOff>
    </xdr:from>
    <xdr:to>
      <xdr:col>10</xdr:col>
      <xdr:colOff>430736</xdr:colOff>
      <xdr:row>1</xdr:row>
      <xdr:rowOff>15000</xdr:rowOff>
    </xdr:to>
    <xdr:sp macro="" textlink="">
      <xdr:nvSpPr>
        <xdr:cNvPr id="5" name="Retângulo 4">
          <a:hlinkClick xmlns:r="http://schemas.openxmlformats.org/officeDocument/2006/relationships" r:id="rId4"/>
          <a:extLst>
            <a:ext uri="{FF2B5EF4-FFF2-40B4-BE49-F238E27FC236}">
              <a16:creationId xmlns="" xmlns:a16="http://schemas.microsoft.com/office/drawing/2014/main" id="{76C32809-6107-4C6B-85DF-66702C9AF183}"/>
            </a:ext>
          </a:extLst>
        </xdr:cNvPr>
        <xdr:cNvSpPr/>
      </xdr:nvSpPr>
      <xdr:spPr>
        <a:xfrm>
          <a:off x="8062902" y="0"/>
          <a:ext cx="1073684"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INSTUÇÕES</a:t>
          </a:r>
        </a:p>
      </xdr:txBody>
    </xdr:sp>
    <xdr:clientData/>
  </xdr:twoCellAnchor>
  <xdr:twoCellAnchor editAs="absolute">
    <xdr:from>
      <xdr:col>2</xdr:col>
      <xdr:colOff>417778</xdr:colOff>
      <xdr:row>1</xdr:row>
      <xdr:rowOff>57150</xdr:rowOff>
    </xdr:from>
    <xdr:to>
      <xdr:col>2</xdr:col>
      <xdr:colOff>1353778</xdr:colOff>
      <xdr:row>2</xdr:row>
      <xdr:rowOff>38100</xdr:rowOff>
    </xdr:to>
    <xdr:sp macro="" textlink="">
      <xdr:nvSpPr>
        <xdr:cNvPr id="6" name="Retângulo 5">
          <a:hlinkClick xmlns:r="http://schemas.openxmlformats.org/officeDocument/2006/relationships" r:id="rId4"/>
          <a:extLst>
            <a:ext uri="{FF2B5EF4-FFF2-40B4-BE49-F238E27FC236}">
              <a16:creationId xmlns="" xmlns:a16="http://schemas.microsoft.com/office/drawing/2014/main" id="{DA51B8B2-F2D7-4326-A77A-BE56CE7C72D4}"/>
            </a:ext>
          </a:extLst>
        </xdr:cNvPr>
        <xdr:cNvSpPr/>
      </xdr:nvSpPr>
      <xdr:spPr>
        <a:xfrm>
          <a:off x="2351353" y="438150"/>
          <a:ext cx="936000" cy="295275"/>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Passo a passo</a:t>
          </a:r>
        </a:p>
      </xdr:txBody>
    </xdr:sp>
    <xdr:clientData/>
  </xdr:twoCellAnchor>
  <xdr:twoCellAnchor editAs="absolute">
    <xdr:from>
      <xdr:col>2</xdr:col>
      <xdr:colOff>1400176</xdr:colOff>
      <xdr:row>1</xdr:row>
      <xdr:rowOff>57150</xdr:rowOff>
    </xdr:from>
    <xdr:to>
      <xdr:col>2</xdr:col>
      <xdr:colOff>2336176</xdr:colOff>
      <xdr:row>2</xdr:row>
      <xdr:rowOff>38100</xdr:rowOff>
    </xdr:to>
    <xdr:sp macro="" textlink="">
      <xdr:nvSpPr>
        <xdr:cNvPr id="7" name="Retângulo 6">
          <a:hlinkClick xmlns:r="http://schemas.openxmlformats.org/officeDocument/2006/relationships" r:id="rId5"/>
          <a:extLst>
            <a:ext uri="{FF2B5EF4-FFF2-40B4-BE49-F238E27FC236}">
              <a16:creationId xmlns="" xmlns:a16="http://schemas.microsoft.com/office/drawing/2014/main" id="{8F7A2942-91AE-4BCE-8A2B-ACBDBE83EEAE}"/>
            </a:ext>
          </a:extLst>
        </xdr:cNvPr>
        <xdr:cNvSpPr/>
      </xdr:nvSpPr>
      <xdr:spPr>
        <a:xfrm>
          <a:off x="3333751"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Dúvidas</a:t>
          </a:r>
        </a:p>
      </xdr:txBody>
    </xdr:sp>
    <xdr:clientData/>
  </xdr:twoCellAnchor>
  <xdr:twoCellAnchor editAs="oneCell">
    <xdr:from>
      <xdr:col>14</xdr:col>
      <xdr:colOff>47625</xdr:colOff>
      <xdr:row>6</xdr:row>
      <xdr:rowOff>285750</xdr:rowOff>
    </xdr:from>
    <xdr:to>
      <xdr:col>14</xdr:col>
      <xdr:colOff>574356</xdr:colOff>
      <xdr:row>6</xdr:row>
      <xdr:rowOff>789750</xdr:rowOff>
    </xdr:to>
    <xdr:pic>
      <xdr:nvPicPr>
        <xdr:cNvPr id="8" name="Imagem 7">
          <a:hlinkClick xmlns:r="http://schemas.openxmlformats.org/officeDocument/2006/relationships" r:id="rId6"/>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2514600"/>
          <a:ext cx="526731" cy="504000"/>
        </a:xfrm>
        <a:prstGeom prst="rect">
          <a:avLst/>
        </a:prstGeom>
      </xdr:spPr>
    </xdr:pic>
    <xdr:clientData/>
  </xdr:twoCellAnchor>
  <xdr:twoCellAnchor editAs="oneCell">
    <xdr:from>
      <xdr:col>14</xdr:col>
      <xdr:colOff>47625</xdr:colOff>
      <xdr:row>8</xdr:row>
      <xdr:rowOff>95250</xdr:rowOff>
    </xdr:from>
    <xdr:to>
      <xdr:col>14</xdr:col>
      <xdr:colOff>574356</xdr:colOff>
      <xdr:row>8</xdr:row>
      <xdr:rowOff>599250</xdr:rowOff>
    </xdr:to>
    <xdr:pic>
      <xdr:nvPicPr>
        <xdr:cNvPr id="9" name="Imagem 8">
          <a:hlinkClick xmlns:r="http://schemas.openxmlformats.org/officeDocument/2006/relationships" r:id="rId8"/>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2924175"/>
          <a:ext cx="526731" cy="504000"/>
        </a:xfrm>
        <a:prstGeom prst="rect">
          <a:avLst/>
        </a:prstGeom>
      </xdr:spPr>
    </xdr:pic>
    <xdr:clientData/>
  </xdr:twoCellAnchor>
  <xdr:twoCellAnchor editAs="oneCell">
    <xdr:from>
      <xdr:col>14</xdr:col>
      <xdr:colOff>47625</xdr:colOff>
      <xdr:row>10</xdr:row>
      <xdr:rowOff>95250</xdr:rowOff>
    </xdr:from>
    <xdr:to>
      <xdr:col>14</xdr:col>
      <xdr:colOff>574356</xdr:colOff>
      <xdr:row>10</xdr:row>
      <xdr:rowOff>599250</xdr:rowOff>
    </xdr:to>
    <xdr:pic>
      <xdr:nvPicPr>
        <xdr:cNvPr id="10" name="Imagem 9">
          <a:hlinkClick xmlns:r="http://schemas.openxmlformats.org/officeDocument/2006/relationships" r:id="rId9"/>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3667125"/>
          <a:ext cx="526731" cy="504000"/>
        </a:xfrm>
        <a:prstGeom prst="rect">
          <a:avLst/>
        </a:prstGeom>
      </xdr:spPr>
    </xdr:pic>
    <xdr:clientData/>
  </xdr:twoCellAnchor>
  <xdr:twoCellAnchor editAs="oneCell">
    <xdr:from>
      <xdr:col>14</xdr:col>
      <xdr:colOff>47625</xdr:colOff>
      <xdr:row>12</xdr:row>
      <xdr:rowOff>95250</xdr:rowOff>
    </xdr:from>
    <xdr:to>
      <xdr:col>14</xdr:col>
      <xdr:colOff>574356</xdr:colOff>
      <xdr:row>12</xdr:row>
      <xdr:rowOff>599250</xdr:rowOff>
    </xdr:to>
    <xdr:pic>
      <xdr:nvPicPr>
        <xdr:cNvPr id="11" name="Imagem 10">
          <a:hlinkClick xmlns:r="http://schemas.openxmlformats.org/officeDocument/2006/relationships" r:id="rId10"/>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4410075"/>
          <a:ext cx="526731" cy="504000"/>
        </a:xfrm>
        <a:prstGeom prst="rect">
          <a:avLst/>
        </a:prstGeom>
      </xdr:spPr>
    </xdr:pic>
    <xdr:clientData/>
  </xdr:twoCellAnchor>
  <xdr:twoCellAnchor editAs="oneCell">
    <xdr:from>
      <xdr:col>14</xdr:col>
      <xdr:colOff>47625</xdr:colOff>
      <xdr:row>14</xdr:row>
      <xdr:rowOff>95250</xdr:rowOff>
    </xdr:from>
    <xdr:to>
      <xdr:col>14</xdr:col>
      <xdr:colOff>574356</xdr:colOff>
      <xdr:row>14</xdr:row>
      <xdr:rowOff>599250</xdr:rowOff>
    </xdr:to>
    <xdr:pic>
      <xdr:nvPicPr>
        <xdr:cNvPr id="12" name="Imagem 11">
          <a:hlinkClick xmlns:r="http://schemas.openxmlformats.org/officeDocument/2006/relationships" r:id="rId11"/>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227" r="14869"/>
        <a:stretch/>
      </xdr:blipFill>
      <xdr:spPr>
        <a:xfrm>
          <a:off x="11191875" y="5153025"/>
          <a:ext cx="526731" cy="504000"/>
        </a:xfrm>
        <a:prstGeom prst="rect">
          <a:avLst/>
        </a:prstGeom>
      </xdr:spPr>
    </xdr:pic>
    <xdr:clientData/>
  </xdr:twoCellAnchor>
  <xdr:twoCellAnchor editAs="absolute">
    <xdr:from>
      <xdr:col>0</xdr:col>
      <xdr:colOff>7</xdr:colOff>
      <xdr:row>0</xdr:row>
      <xdr:rowOff>0</xdr:rowOff>
    </xdr:from>
    <xdr:to>
      <xdr:col>1</xdr:col>
      <xdr:colOff>762165</xdr:colOff>
      <xdr:row>0</xdr:row>
      <xdr:rowOff>378000</xdr:rowOff>
    </xdr:to>
    <xdr:pic>
      <xdr:nvPicPr>
        <xdr:cNvPr id="13" name="Imagem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 y="0"/>
          <a:ext cx="962183" cy="378000"/>
        </a:xfrm>
        <a:prstGeom prst="rect">
          <a:avLst/>
        </a:prstGeom>
      </xdr:spPr>
    </xdr:pic>
    <xdr:clientData/>
  </xdr:twoCellAnchor>
  <xdr:twoCellAnchor editAs="absolute">
    <xdr:from>
      <xdr:col>3</xdr:col>
      <xdr:colOff>276225</xdr:colOff>
      <xdr:row>0</xdr:row>
      <xdr:rowOff>0</xdr:rowOff>
    </xdr:from>
    <xdr:to>
      <xdr:col>5</xdr:col>
      <xdr:colOff>102133</xdr:colOff>
      <xdr:row>1</xdr:row>
      <xdr:rowOff>15000</xdr:rowOff>
    </xdr:to>
    <xdr:sp macro="" textlink="">
      <xdr:nvSpPr>
        <xdr:cNvPr id="14" name="Retângulo 13">
          <a:hlinkClick xmlns:r="http://schemas.openxmlformats.org/officeDocument/2006/relationships" r:id="rId13"/>
          <a:extLst>
            <a:ext uri="{FF2B5EF4-FFF2-40B4-BE49-F238E27FC236}">
              <a16:creationId xmlns="" xmlns:a16="http://schemas.microsoft.com/office/drawing/2014/main" id="{8B667718-2F2C-484E-9D8C-4658B16D3488}"/>
            </a:ext>
          </a:extLst>
        </xdr:cNvPr>
        <xdr:cNvSpPr/>
      </xdr:nvSpPr>
      <xdr:spPr>
        <a:xfrm>
          <a:off x="4714875"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7</xdr:col>
      <xdr:colOff>57150</xdr:colOff>
      <xdr:row>0</xdr:row>
      <xdr:rowOff>0</xdr:rowOff>
    </xdr:from>
    <xdr:to>
      <xdr:col>8</xdr:col>
      <xdr:colOff>492658</xdr:colOff>
      <xdr:row>1</xdr:row>
      <xdr:rowOff>15000</xdr:rowOff>
    </xdr:to>
    <xdr:sp macro="" textlink="">
      <xdr:nvSpPr>
        <xdr:cNvPr id="15" name="Retângulo 14">
          <a:hlinkClick xmlns:r="http://schemas.openxmlformats.org/officeDocument/2006/relationships" r:id="rId14"/>
          <a:extLst>
            <a:ext uri="{FF2B5EF4-FFF2-40B4-BE49-F238E27FC236}">
              <a16:creationId xmlns="" xmlns:a16="http://schemas.microsoft.com/office/drawing/2014/main" id="{8B667718-2F2C-484E-9D8C-4658B16D3488}"/>
            </a:ext>
          </a:extLst>
        </xdr:cNvPr>
        <xdr:cNvSpPr/>
      </xdr:nvSpPr>
      <xdr:spPr>
        <a:xfrm>
          <a:off x="6934200"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twoCellAnchor editAs="absolute">
    <xdr:from>
      <xdr:col>2</xdr:col>
      <xdr:colOff>2390775</xdr:colOff>
      <xdr:row>1</xdr:row>
      <xdr:rowOff>57150</xdr:rowOff>
    </xdr:from>
    <xdr:to>
      <xdr:col>4</xdr:col>
      <xdr:colOff>212100</xdr:colOff>
      <xdr:row>2</xdr:row>
      <xdr:rowOff>38100</xdr:rowOff>
    </xdr:to>
    <xdr:sp macro="" textlink="">
      <xdr:nvSpPr>
        <xdr:cNvPr id="16" name="Retângulo 15">
          <a:hlinkClick xmlns:r="http://schemas.openxmlformats.org/officeDocument/2006/relationships" r:id="rId15"/>
          <a:extLst>
            <a:ext uri="{FF2B5EF4-FFF2-40B4-BE49-F238E27FC236}">
              <a16:creationId xmlns="" xmlns:a16="http://schemas.microsoft.com/office/drawing/2014/main" id="{8F7A2942-91AE-4BCE-8A2B-ACBDBE83EEAE}"/>
            </a:ext>
          </a:extLst>
        </xdr:cNvPr>
        <xdr:cNvSpPr/>
      </xdr:nvSpPr>
      <xdr:spPr>
        <a:xfrm>
          <a:off x="4324350"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Sugestões</a:t>
          </a:r>
        </a:p>
      </xdr:txBody>
    </xdr:sp>
    <xdr:clientData/>
  </xdr:twoCellAnchor>
  <xdr:twoCellAnchor editAs="absolute">
    <xdr:from>
      <xdr:col>4</xdr:col>
      <xdr:colOff>266700</xdr:colOff>
      <xdr:row>1</xdr:row>
      <xdr:rowOff>57150</xdr:rowOff>
    </xdr:from>
    <xdr:to>
      <xdr:col>5</xdr:col>
      <xdr:colOff>593100</xdr:colOff>
      <xdr:row>2</xdr:row>
      <xdr:rowOff>38100</xdr:rowOff>
    </xdr:to>
    <xdr:sp macro="" textlink="">
      <xdr:nvSpPr>
        <xdr:cNvPr id="17" name="Retângulo 16">
          <a:hlinkClick xmlns:r="http://schemas.openxmlformats.org/officeDocument/2006/relationships" r:id="rId16"/>
          <a:extLst>
            <a:ext uri="{FF2B5EF4-FFF2-40B4-BE49-F238E27FC236}">
              <a16:creationId xmlns="" xmlns:a16="http://schemas.microsoft.com/office/drawing/2014/main" id="{8F7A2942-91AE-4BCE-8A2B-ACBDBE83EEAE}"/>
            </a:ext>
          </a:extLst>
        </xdr:cNvPr>
        <xdr:cNvSpPr/>
      </xdr:nvSpPr>
      <xdr:spPr>
        <a:xfrm>
          <a:off x="5314950"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Sobre nós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6356</xdr:colOff>
      <xdr:row>2</xdr:row>
      <xdr:rowOff>101601</xdr:rowOff>
    </xdr:from>
    <xdr:ext cx="6336000" cy="468000"/>
    <xdr:sp macro="" textlink="">
      <xdr:nvSpPr>
        <xdr:cNvPr id="5" name="CaixaDeTexto 4"/>
        <xdr:cNvSpPr txBox="1"/>
      </xdr:nvSpPr>
      <xdr:spPr>
        <a:xfrm>
          <a:off x="4435481" y="796926"/>
          <a:ext cx="6336000"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000">
              <a:solidFill>
                <a:schemeClr val="tx1"/>
              </a:solidFill>
              <a:effectLst/>
              <a:latin typeface="+mn-lt"/>
              <a:ea typeface="+mn-ea"/>
              <a:cs typeface="+mn-cs"/>
            </a:rPr>
            <a:t>Confira alguns alertas e dicas importantes para cada item do PDCA. Veja suas maiores causas, seu índice de ações concluídas no prazo, índices</a:t>
          </a:r>
          <a:r>
            <a:rPr lang="pt-BR" sz="1000" baseline="0">
              <a:solidFill>
                <a:schemeClr val="tx1"/>
              </a:solidFill>
              <a:effectLst/>
              <a:latin typeface="+mn-lt"/>
              <a:ea typeface="+mn-ea"/>
              <a:cs typeface="+mn-cs"/>
            </a:rPr>
            <a:t> </a:t>
          </a:r>
          <a:r>
            <a:rPr lang="pt-BR" sz="1000">
              <a:solidFill>
                <a:schemeClr val="tx1"/>
              </a:solidFill>
              <a:effectLst/>
              <a:latin typeface="+mn-lt"/>
              <a:ea typeface="+mn-ea"/>
              <a:cs typeface="+mn-cs"/>
            </a:rPr>
            <a:t>de conformidade</a:t>
          </a:r>
          <a:r>
            <a:rPr lang="pt-BR" sz="1000" baseline="0">
              <a:solidFill>
                <a:schemeClr val="tx1"/>
              </a:solidFill>
              <a:effectLst/>
              <a:latin typeface="+mn-lt"/>
              <a:ea typeface="+mn-ea"/>
              <a:cs typeface="+mn-cs"/>
            </a:rPr>
            <a:t> e efiácia, quais os tipos de problemas você tem, além de outras dicas.</a:t>
          </a:r>
          <a:endParaRPr lang="pt-BR" sz="1000">
            <a:solidFill>
              <a:schemeClr val="tx1"/>
            </a:solidFill>
            <a:effectLst/>
            <a:latin typeface="+mn-lt"/>
            <a:ea typeface="+mn-ea"/>
            <a:cs typeface="+mn-cs"/>
          </a:endParaRPr>
        </a:p>
      </xdr:txBody>
    </xdr:sp>
    <xdr:clientData/>
  </xdr:oneCellAnchor>
  <xdr:twoCellAnchor editAs="oneCell">
    <xdr:from>
      <xdr:col>2</xdr:col>
      <xdr:colOff>28574</xdr:colOff>
      <xdr:row>16</xdr:row>
      <xdr:rowOff>26194</xdr:rowOff>
    </xdr:from>
    <xdr:to>
      <xdr:col>13</xdr:col>
      <xdr:colOff>1608074</xdr:colOff>
      <xdr:row>17</xdr:row>
      <xdr:rowOff>467118</xdr:rowOff>
    </xdr:to>
    <xdr:pic>
      <xdr:nvPicPr>
        <xdr:cNvPr id="19484" name="Imagem 1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4" y="4845844"/>
          <a:ext cx="5580000" cy="1012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55824</xdr:colOff>
      <xdr:row>0</xdr:row>
      <xdr:rowOff>0</xdr:rowOff>
    </xdr:from>
    <xdr:to>
      <xdr:col>9</xdr:col>
      <xdr:colOff>396083</xdr:colOff>
      <xdr:row>1</xdr:row>
      <xdr:rowOff>15000</xdr:rowOff>
    </xdr:to>
    <xdr:sp macro="" textlink="">
      <xdr:nvSpPr>
        <xdr:cNvPr id="4" name="Retângulo 3">
          <a:hlinkClick xmlns:r="http://schemas.openxmlformats.org/officeDocument/2006/relationships" r:id="rId2"/>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9</xdr:col>
      <xdr:colOff>467249</xdr:colOff>
      <xdr:row>0</xdr:row>
      <xdr:rowOff>0</xdr:rowOff>
    </xdr:from>
    <xdr:to>
      <xdr:col>13</xdr:col>
      <xdr:colOff>78310</xdr:colOff>
      <xdr:row>1</xdr:row>
      <xdr:rowOff>15000</xdr:rowOff>
    </xdr:to>
    <xdr:sp macro="" textlink="">
      <xdr:nvSpPr>
        <xdr:cNvPr id="6" name="Retângulo 5">
          <a:hlinkClick xmlns:r="http://schemas.openxmlformats.org/officeDocument/2006/relationships" r:id="rId3"/>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13</xdr:col>
      <xdr:colOff>1257287</xdr:colOff>
      <xdr:row>0</xdr:row>
      <xdr:rowOff>0</xdr:rowOff>
    </xdr:from>
    <xdr:to>
      <xdr:col>16</xdr:col>
      <xdr:colOff>16395</xdr:colOff>
      <xdr:row>1</xdr:row>
      <xdr:rowOff>15000</xdr:rowOff>
    </xdr:to>
    <xdr:sp macro="" textlink="">
      <xdr:nvSpPr>
        <xdr:cNvPr id="7" name="Retângulo 6">
          <a:hlinkClick xmlns:r="http://schemas.openxmlformats.org/officeDocument/2006/relationships" r:id="rId4"/>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21</xdr:col>
      <xdr:colOff>4745</xdr:colOff>
      <xdr:row>0</xdr:row>
      <xdr:rowOff>0</xdr:rowOff>
    </xdr:from>
    <xdr:to>
      <xdr:col>28</xdr:col>
      <xdr:colOff>11629</xdr:colOff>
      <xdr:row>1</xdr:row>
      <xdr:rowOff>15000</xdr:rowOff>
    </xdr:to>
    <xdr:sp macro="" textlink="">
      <xdr:nvSpPr>
        <xdr:cNvPr id="8" name="Retângulo 7">
          <a:hlinkClick xmlns:r="http://schemas.openxmlformats.org/officeDocument/2006/relationships" r:id="rId5"/>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2</xdr:col>
      <xdr:colOff>390683</xdr:colOff>
      <xdr:row>0</xdr:row>
      <xdr:rowOff>378000</xdr:rowOff>
    </xdr:to>
    <xdr:pic>
      <xdr:nvPicPr>
        <xdr:cNvPr id="9" name="Imagem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13</xdr:col>
      <xdr:colOff>142868</xdr:colOff>
      <xdr:row>0</xdr:row>
      <xdr:rowOff>0</xdr:rowOff>
    </xdr:from>
    <xdr:to>
      <xdr:col>13</xdr:col>
      <xdr:colOff>1187976</xdr:colOff>
      <xdr:row>1</xdr:row>
      <xdr:rowOff>15000</xdr:rowOff>
    </xdr:to>
    <xdr:sp macro="" textlink="">
      <xdr:nvSpPr>
        <xdr:cNvPr id="10" name="Retângulo 9">
          <a:hlinkClick xmlns:r="http://schemas.openxmlformats.org/officeDocument/2006/relationships" r:id="rId7"/>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ALERTAS</a:t>
          </a:r>
        </a:p>
      </xdr:txBody>
    </xdr:sp>
    <xdr:clientData/>
  </xdr:twoCellAnchor>
  <xdr:twoCellAnchor editAs="absolute">
    <xdr:from>
      <xdr:col>16</xdr:col>
      <xdr:colOff>76193</xdr:colOff>
      <xdr:row>0</xdr:row>
      <xdr:rowOff>0</xdr:rowOff>
    </xdr:from>
    <xdr:to>
      <xdr:col>20</xdr:col>
      <xdr:colOff>73551</xdr:colOff>
      <xdr:row>1</xdr:row>
      <xdr:rowOff>15000</xdr:rowOff>
    </xdr:to>
    <xdr:sp macro="" textlink="">
      <xdr:nvSpPr>
        <xdr:cNvPr id="11" name="Retângulo 10">
          <a:hlinkClick xmlns:r="http://schemas.openxmlformats.org/officeDocument/2006/relationships" r:id="rId8"/>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7</xdr:col>
      <xdr:colOff>79384</xdr:colOff>
      <xdr:row>3</xdr:row>
      <xdr:rowOff>6351</xdr:rowOff>
    </xdr:from>
    <xdr:ext cx="6519333" cy="405367"/>
    <xdr:sp macro="" textlink="">
      <xdr:nvSpPr>
        <xdr:cNvPr id="5" name="CaixaDeTexto 4"/>
        <xdr:cNvSpPr txBox="1"/>
      </xdr:nvSpPr>
      <xdr:spPr>
        <a:xfrm>
          <a:off x="3298834" y="949326"/>
          <a:ext cx="6519333"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000">
              <a:solidFill>
                <a:schemeClr val="tx1"/>
              </a:solidFill>
              <a:effectLst/>
              <a:latin typeface="+mn-lt"/>
              <a:ea typeface="+mn-ea"/>
              <a:cs typeface="+mn-cs"/>
            </a:rPr>
            <a:t>Faça uma</a:t>
          </a:r>
          <a:r>
            <a:rPr lang="pt-BR" sz="1000" baseline="0">
              <a:solidFill>
                <a:schemeClr val="tx1"/>
              </a:solidFill>
              <a:effectLst/>
              <a:latin typeface="+mn-lt"/>
              <a:ea typeface="+mn-ea"/>
              <a:cs typeface="+mn-cs"/>
            </a:rPr>
            <a:t> análise dos resultados através destes gráficos. Os gráficos são formas simples para exibir resultados visuais mais fáceis de serem interpretados.</a:t>
          </a:r>
          <a:endParaRPr lang="pt-BR" sz="900">
            <a:effectLst/>
          </a:endParaRPr>
        </a:p>
      </xdr:txBody>
    </xdr:sp>
    <xdr:clientData/>
  </xdr:oneCellAnchor>
  <xdr:twoCellAnchor editAs="oneCell">
    <xdr:from>
      <xdr:col>2</xdr:col>
      <xdr:colOff>57150</xdr:colOff>
      <xdr:row>56</xdr:row>
      <xdr:rowOff>95249</xdr:rowOff>
    </xdr:from>
    <xdr:to>
      <xdr:col>7</xdr:col>
      <xdr:colOff>162300</xdr:colOff>
      <xdr:row>64</xdr:row>
      <xdr:rowOff>100649</xdr:rowOff>
    </xdr:to>
    <xdr:graphicFrame macro="">
      <xdr:nvGraphicFramePr>
        <xdr:cNvPr id="20494" name="Gráfico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47625</xdr:colOff>
      <xdr:row>56</xdr:row>
      <xdr:rowOff>95249</xdr:rowOff>
    </xdr:from>
    <xdr:to>
      <xdr:col>10</xdr:col>
      <xdr:colOff>638550</xdr:colOff>
      <xdr:row>64</xdr:row>
      <xdr:rowOff>100649</xdr:rowOff>
    </xdr:to>
    <xdr:graphicFrame macro="">
      <xdr:nvGraphicFramePr>
        <xdr:cNvPr id="20495" name="Gráfico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685800</xdr:colOff>
      <xdr:row>56</xdr:row>
      <xdr:rowOff>95249</xdr:rowOff>
    </xdr:from>
    <xdr:to>
      <xdr:col>16</xdr:col>
      <xdr:colOff>124200</xdr:colOff>
      <xdr:row>64</xdr:row>
      <xdr:rowOff>100649</xdr:rowOff>
    </xdr:to>
    <xdr:graphicFrame macro="">
      <xdr:nvGraphicFramePr>
        <xdr:cNvPr id="20496" name="Gráfico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76200</xdr:colOff>
      <xdr:row>76</xdr:row>
      <xdr:rowOff>66675</xdr:rowOff>
    </xdr:from>
    <xdr:to>
      <xdr:col>10</xdr:col>
      <xdr:colOff>419100</xdr:colOff>
      <xdr:row>80</xdr:row>
      <xdr:rowOff>133350</xdr:rowOff>
    </xdr:to>
    <xdr:pic>
      <xdr:nvPicPr>
        <xdr:cNvPr id="20505" name="Imagem 2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4800" y="31889700"/>
          <a:ext cx="60102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41</xdr:row>
      <xdr:rowOff>66675</xdr:rowOff>
    </xdr:from>
    <xdr:to>
      <xdr:col>7</xdr:col>
      <xdr:colOff>162300</xdr:colOff>
      <xdr:row>44</xdr:row>
      <xdr:rowOff>516225</xdr:rowOff>
    </xdr:to>
    <xdr:graphicFrame macro="">
      <xdr:nvGraphicFramePr>
        <xdr:cNvPr id="15" name="Gráfico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28575</xdr:colOff>
      <xdr:row>41</xdr:row>
      <xdr:rowOff>66675</xdr:rowOff>
    </xdr:from>
    <xdr:to>
      <xdr:col>10</xdr:col>
      <xdr:colOff>619500</xdr:colOff>
      <xdr:row>44</xdr:row>
      <xdr:rowOff>514350</xdr:rowOff>
    </xdr:to>
    <xdr:graphicFrame macro="">
      <xdr:nvGraphicFramePr>
        <xdr:cNvPr id="16" name="Gráfico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10</xdr:col>
      <xdr:colOff>657225</xdr:colOff>
      <xdr:row>41</xdr:row>
      <xdr:rowOff>66675</xdr:rowOff>
    </xdr:from>
    <xdr:to>
      <xdr:col>16</xdr:col>
      <xdr:colOff>95625</xdr:colOff>
      <xdr:row>44</xdr:row>
      <xdr:rowOff>514350</xdr:rowOff>
    </xdr:to>
    <xdr:graphicFrame macro="">
      <xdr:nvGraphicFramePr>
        <xdr:cNvPr id="17" name="Gráfico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57150</xdr:colOff>
      <xdr:row>45</xdr:row>
      <xdr:rowOff>9525</xdr:rowOff>
    </xdr:from>
    <xdr:to>
      <xdr:col>7</xdr:col>
      <xdr:colOff>162300</xdr:colOff>
      <xdr:row>48</xdr:row>
      <xdr:rowOff>457200</xdr:rowOff>
    </xdr:to>
    <xdr:graphicFrame macro="">
      <xdr:nvGraphicFramePr>
        <xdr:cNvPr id="18" name="Gráfico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28575</xdr:colOff>
      <xdr:row>45</xdr:row>
      <xdr:rowOff>9525</xdr:rowOff>
    </xdr:from>
    <xdr:to>
      <xdr:col>10</xdr:col>
      <xdr:colOff>619500</xdr:colOff>
      <xdr:row>48</xdr:row>
      <xdr:rowOff>457200</xdr:rowOff>
    </xdr:to>
    <xdr:graphicFrame macro="">
      <xdr:nvGraphicFramePr>
        <xdr:cNvPr id="19" name="Gráfico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10</xdr:col>
      <xdr:colOff>657225</xdr:colOff>
      <xdr:row>45</xdr:row>
      <xdr:rowOff>9525</xdr:rowOff>
    </xdr:from>
    <xdr:to>
      <xdr:col>16</xdr:col>
      <xdr:colOff>95625</xdr:colOff>
      <xdr:row>48</xdr:row>
      <xdr:rowOff>457200</xdr:rowOff>
    </xdr:to>
    <xdr:graphicFrame macro="">
      <xdr:nvGraphicFramePr>
        <xdr:cNvPr id="20" name="Gráfico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57150</xdr:colOff>
      <xdr:row>49</xdr:row>
      <xdr:rowOff>85725</xdr:rowOff>
    </xdr:from>
    <xdr:to>
      <xdr:col>9</xdr:col>
      <xdr:colOff>1415025</xdr:colOff>
      <xdr:row>53</xdr:row>
      <xdr:rowOff>371475</xdr:rowOff>
    </xdr:to>
    <xdr:graphicFrame macro="">
      <xdr:nvGraphicFramePr>
        <xdr:cNvPr id="21"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9</xdr:col>
      <xdr:colOff>1471425</xdr:colOff>
      <xdr:row>49</xdr:row>
      <xdr:rowOff>85725</xdr:rowOff>
    </xdr:from>
    <xdr:to>
      <xdr:col>16</xdr:col>
      <xdr:colOff>76575</xdr:colOff>
      <xdr:row>53</xdr:row>
      <xdr:rowOff>371475</xdr:rowOff>
    </xdr:to>
    <xdr:graphicFrame macro="">
      <xdr:nvGraphicFramePr>
        <xdr:cNvPr id="22" name="Gráfico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2</xdr:col>
      <xdr:colOff>2122749</xdr:colOff>
      <xdr:row>0</xdr:row>
      <xdr:rowOff>0</xdr:rowOff>
    </xdr:from>
    <xdr:to>
      <xdr:col>8</xdr:col>
      <xdr:colOff>24608</xdr:colOff>
      <xdr:row>1</xdr:row>
      <xdr:rowOff>15000</xdr:rowOff>
    </xdr:to>
    <xdr:sp macro="" textlink="">
      <xdr:nvSpPr>
        <xdr:cNvPr id="23" name="Retângulo 22">
          <a:hlinkClick xmlns:r="http://schemas.openxmlformats.org/officeDocument/2006/relationships" r:id="rId13"/>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8</xdr:col>
      <xdr:colOff>95774</xdr:colOff>
      <xdr:row>0</xdr:row>
      <xdr:rowOff>0</xdr:rowOff>
    </xdr:from>
    <xdr:to>
      <xdr:col>9</xdr:col>
      <xdr:colOff>1135585</xdr:colOff>
      <xdr:row>1</xdr:row>
      <xdr:rowOff>15000</xdr:rowOff>
    </xdr:to>
    <xdr:sp macro="" textlink="">
      <xdr:nvSpPr>
        <xdr:cNvPr id="24" name="Retângulo 23">
          <a:hlinkClick xmlns:r="http://schemas.openxmlformats.org/officeDocument/2006/relationships" r:id="rId14"/>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9</xdr:col>
      <xdr:colOff>2314562</xdr:colOff>
      <xdr:row>0</xdr:row>
      <xdr:rowOff>0</xdr:rowOff>
    </xdr:from>
    <xdr:to>
      <xdr:col>11</xdr:col>
      <xdr:colOff>102120</xdr:colOff>
      <xdr:row>1</xdr:row>
      <xdr:rowOff>15000</xdr:rowOff>
    </xdr:to>
    <xdr:sp macro="" textlink="">
      <xdr:nvSpPr>
        <xdr:cNvPr id="25" name="Retângulo 24">
          <a:hlinkClick xmlns:r="http://schemas.openxmlformats.org/officeDocument/2006/relationships" r:id="rId15"/>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RELATÓRIO</a:t>
          </a:r>
        </a:p>
      </xdr:txBody>
    </xdr:sp>
    <xdr:clientData/>
  </xdr:twoCellAnchor>
  <xdr:twoCellAnchor editAs="absolute">
    <xdr:from>
      <xdr:col>13</xdr:col>
      <xdr:colOff>280970</xdr:colOff>
      <xdr:row>0</xdr:row>
      <xdr:rowOff>0</xdr:rowOff>
    </xdr:from>
    <xdr:to>
      <xdr:col>15</xdr:col>
      <xdr:colOff>173554</xdr:colOff>
      <xdr:row>1</xdr:row>
      <xdr:rowOff>15000</xdr:rowOff>
    </xdr:to>
    <xdr:sp macro="" textlink="">
      <xdr:nvSpPr>
        <xdr:cNvPr id="26" name="Retângulo 25">
          <a:hlinkClick xmlns:r="http://schemas.openxmlformats.org/officeDocument/2006/relationships" r:id="rId16"/>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2</xdr:col>
      <xdr:colOff>733583</xdr:colOff>
      <xdr:row>0</xdr:row>
      <xdr:rowOff>378000</xdr:rowOff>
    </xdr:to>
    <xdr:pic>
      <xdr:nvPicPr>
        <xdr:cNvPr id="27" name="Imagem 2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9</xdr:col>
      <xdr:colOff>1200143</xdr:colOff>
      <xdr:row>0</xdr:row>
      <xdr:rowOff>0</xdr:rowOff>
    </xdr:from>
    <xdr:to>
      <xdr:col>9</xdr:col>
      <xdr:colOff>2245251</xdr:colOff>
      <xdr:row>1</xdr:row>
      <xdr:rowOff>15000</xdr:rowOff>
    </xdr:to>
    <xdr:sp macro="" textlink="">
      <xdr:nvSpPr>
        <xdr:cNvPr id="28" name="Retângulo 27">
          <a:hlinkClick xmlns:r="http://schemas.openxmlformats.org/officeDocument/2006/relationships" r:id="rId18"/>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12</xdr:col>
      <xdr:colOff>38093</xdr:colOff>
      <xdr:row>0</xdr:row>
      <xdr:rowOff>0</xdr:rowOff>
    </xdr:from>
    <xdr:to>
      <xdr:col>13</xdr:col>
      <xdr:colOff>197376</xdr:colOff>
      <xdr:row>1</xdr:row>
      <xdr:rowOff>15000</xdr:rowOff>
    </xdr:to>
    <xdr:sp macro="" textlink="">
      <xdr:nvSpPr>
        <xdr:cNvPr id="29" name="Retângulo 28">
          <a:hlinkClick xmlns:r="http://schemas.openxmlformats.org/officeDocument/2006/relationships" r:id="rId19"/>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7</xdr:col>
      <xdr:colOff>95250</xdr:colOff>
      <xdr:row>5</xdr:row>
      <xdr:rowOff>57150</xdr:rowOff>
    </xdr:from>
    <xdr:to>
      <xdr:col>10</xdr:col>
      <xdr:colOff>25350</xdr:colOff>
      <xdr:row>17</xdr:row>
      <xdr:rowOff>111150</xdr:rowOff>
    </xdr:to>
    <xdr:graphicFrame macro="">
      <xdr:nvGraphicFramePr>
        <xdr:cNvPr id="2" name="Gráfico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xdr:col>
      <xdr:colOff>723900</xdr:colOff>
      <xdr:row>17</xdr:row>
      <xdr:rowOff>161925</xdr:rowOff>
    </xdr:from>
    <xdr:to>
      <xdr:col>7</xdr:col>
      <xdr:colOff>44400</xdr:colOff>
      <xdr:row>30</xdr:row>
      <xdr:rowOff>25425</xdr:rowOff>
    </xdr:to>
    <xdr:graphicFrame macro="">
      <xdr:nvGraphicFramePr>
        <xdr:cNvPr id="3" name="Gráfico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7</xdr:col>
      <xdr:colOff>95250</xdr:colOff>
      <xdr:row>17</xdr:row>
      <xdr:rowOff>161925</xdr:rowOff>
    </xdr:from>
    <xdr:to>
      <xdr:col>10</xdr:col>
      <xdr:colOff>25350</xdr:colOff>
      <xdr:row>30</xdr:row>
      <xdr:rowOff>25425</xdr:rowOff>
    </xdr:to>
    <xdr:graphicFrame macro="">
      <xdr:nvGraphicFramePr>
        <xdr:cNvPr id="4" name="Gráfico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38100</xdr:colOff>
      <xdr:row>5</xdr:row>
      <xdr:rowOff>57150</xdr:rowOff>
    </xdr:from>
    <xdr:to>
      <xdr:col>3</xdr:col>
      <xdr:colOff>657225</xdr:colOff>
      <xdr:row>30</xdr:row>
      <xdr:rowOff>46650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3</xdr:col>
      <xdr:colOff>723900</xdr:colOff>
      <xdr:row>5</xdr:row>
      <xdr:rowOff>57150</xdr:rowOff>
    </xdr:from>
    <xdr:to>
      <xdr:col>7</xdr:col>
      <xdr:colOff>44400</xdr:colOff>
      <xdr:row>17</xdr:row>
      <xdr:rowOff>111150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2</xdr:col>
      <xdr:colOff>208224</xdr:colOff>
      <xdr:row>0</xdr:row>
      <xdr:rowOff>0</xdr:rowOff>
    </xdr:from>
    <xdr:to>
      <xdr:col>3</xdr:col>
      <xdr:colOff>662783</xdr:colOff>
      <xdr:row>1</xdr:row>
      <xdr:rowOff>15000</xdr:rowOff>
    </xdr:to>
    <xdr:sp macro="" textlink="">
      <xdr:nvSpPr>
        <xdr:cNvPr id="7" name="Retângulo 6">
          <a:hlinkClick xmlns:r="http://schemas.openxmlformats.org/officeDocument/2006/relationships" r:id="rId6"/>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3</xdr:col>
      <xdr:colOff>733949</xdr:colOff>
      <xdr:row>0</xdr:row>
      <xdr:rowOff>0</xdr:rowOff>
    </xdr:from>
    <xdr:to>
      <xdr:col>3</xdr:col>
      <xdr:colOff>1897585</xdr:colOff>
      <xdr:row>1</xdr:row>
      <xdr:rowOff>15000</xdr:rowOff>
    </xdr:to>
    <xdr:sp macro="" textlink="">
      <xdr:nvSpPr>
        <xdr:cNvPr id="8" name="Retângulo 7">
          <a:hlinkClick xmlns:r="http://schemas.openxmlformats.org/officeDocument/2006/relationships" r:id="rId7"/>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5</xdr:col>
      <xdr:colOff>504812</xdr:colOff>
      <xdr:row>0</xdr:row>
      <xdr:rowOff>0</xdr:rowOff>
    </xdr:from>
    <xdr:to>
      <xdr:col>5</xdr:col>
      <xdr:colOff>1549920</xdr:colOff>
      <xdr:row>1</xdr:row>
      <xdr:rowOff>15000</xdr:rowOff>
    </xdr:to>
    <xdr:sp macro="" textlink="">
      <xdr:nvSpPr>
        <xdr:cNvPr id="9" name="Retângulo 8">
          <a:hlinkClick xmlns:r="http://schemas.openxmlformats.org/officeDocument/2006/relationships" r:id="rId8"/>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7</xdr:col>
      <xdr:colOff>166670</xdr:colOff>
      <xdr:row>0</xdr:row>
      <xdr:rowOff>0</xdr:rowOff>
    </xdr:from>
    <xdr:to>
      <xdr:col>7</xdr:col>
      <xdr:colOff>1240354</xdr:colOff>
      <xdr:row>1</xdr:row>
      <xdr:rowOff>15000</xdr:rowOff>
    </xdr:to>
    <xdr:sp macro="" textlink="">
      <xdr:nvSpPr>
        <xdr:cNvPr id="10" name="Retângulo 9">
          <a:hlinkClick xmlns:r="http://schemas.openxmlformats.org/officeDocument/2006/relationships" r:id="rId9"/>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1" name="Imagem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3</xdr:col>
      <xdr:colOff>1962143</xdr:colOff>
      <xdr:row>0</xdr:row>
      <xdr:rowOff>0</xdr:rowOff>
    </xdr:from>
    <xdr:to>
      <xdr:col>5</xdr:col>
      <xdr:colOff>435501</xdr:colOff>
      <xdr:row>1</xdr:row>
      <xdr:rowOff>15000</xdr:rowOff>
    </xdr:to>
    <xdr:sp macro="" textlink="">
      <xdr:nvSpPr>
        <xdr:cNvPr id="12" name="Retângulo 11">
          <a:hlinkClick xmlns:r="http://schemas.openxmlformats.org/officeDocument/2006/relationships" r:id="rId11"/>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5</xdr:col>
      <xdr:colOff>1609718</xdr:colOff>
      <xdr:row>0</xdr:row>
      <xdr:rowOff>0</xdr:rowOff>
    </xdr:from>
    <xdr:to>
      <xdr:col>7</xdr:col>
      <xdr:colOff>83076</xdr:colOff>
      <xdr:row>1</xdr:row>
      <xdr:rowOff>15000</xdr:rowOff>
    </xdr:to>
    <xdr:sp macro="" textlink="">
      <xdr:nvSpPr>
        <xdr:cNvPr id="13" name="Retângulo 12">
          <a:hlinkClick xmlns:r="http://schemas.openxmlformats.org/officeDocument/2006/relationships" r:id="rId12"/>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DASHBOARD</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2170371</xdr:colOff>
      <xdr:row>1</xdr:row>
      <xdr:rowOff>57150</xdr:rowOff>
    </xdr:from>
    <xdr:to>
      <xdr:col>1</xdr:col>
      <xdr:colOff>3106371</xdr:colOff>
      <xdr:row>2</xdr:row>
      <xdr:rowOff>38100</xdr:rowOff>
    </xdr:to>
    <xdr:sp macro="" textlink="">
      <xdr:nvSpPr>
        <xdr:cNvPr id="6" name="Retângulo 5">
          <a:hlinkClick xmlns:r="http://schemas.openxmlformats.org/officeDocument/2006/relationships" r:id="rId1"/>
          <a:extLst>
            <a:ext uri="{FF2B5EF4-FFF2-40B4-BE49-F238E27FC236}">
              <a16:creationId xmlns="" xmlns:a16="http://schemas.microsoft.com/office/drawing/2014/main" id="{DA51B8B2-F2D7-4326-A77A-BE56CE7C72D4}"/>
            </a:ext>
          </a:extLst>
        </xdr:cNvPr>
        <xdr:cNvSpPr/>
      </xdr:nvSpPr>
      <xdr:spPr>
        <a:xfrm>
          <a:off x="2351346"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Passo a passo</a:t>
          </a:r>
        </a:p>
      </xdr:txBody>
    </xdr:sp>
    <xdr:clientData/>
  </xdr:twoCellAnchor>
  <xdr:twoCellAnchor editAs="absolute">
    <xdr:from>
      <xdr:col>1</xdr:col>
      <xdr:colOff>3152769</xdr:colOff>
      <xdr:row>1</xdr:row>
      <xdr:rowOff>57150</xdr:rowOff>
    </xdr:from>
    <xdr:to>
      <xdr:col>1</xdr:col>
      <xdr:colOff>4088769</xdr:colOff>
      <xdr:row>2</xdr:row>
      <xdr:rowOff>38100</xdr:rowOff>
    </xdr:to>
    <xdr:sp macro="" textlink="">
      <xdr:nvSpPr>
        <xdr:cNvPr id="7" name="Retângulo 6">
          <a:hlinkClick xmlns:r="http://schemas.openxmlformats.org/officeDocument/2006/relationships" r:id="rId2"/>
          <a:extLst>
            <a:ext uri="{FF2B5EF4-FFF2-40B4-BE49-F238E27FC236}">
              <a16:creationId xmlns="" xmlns:a16="http://schemas.microsoft.com/office/drawing/2014/main" id="{8F7A2942-91AE-4BCE-8A2B-ACBDBE83EEAE}"/>
            </a:ext>
          </a:extLst>
        </xdr:cNvPr>
        <xdr:cNvSpPr/>
      </xdr:nvSpPr>
      <xdr:spPr>
        <a:xfrm>
          <a:off x="3333744" y="438150"/>
          <a:ext cx="936000" cy="295275"/>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Dúvidas</a:t>
          </a:r>
        </a:p>
      </xdr:txBody>
    </xdr:sp>
    <xdr:clientData/>
  </xdr:twoCellAnchor>
  <xdr:twoCellAnchor editAs="absolute">
    <xdr:from>
      <xdr:col>1</xdr:col>
      <xdr:colOff>4143368</xdr:colOff>
      <xdr:row>1</xdr:row>
      <xdr:rowOff>57150</xdr:rowOff>
    </xdr:from>
    <xdr:to>
      <xdr:col>1</xdr:col>
      <xdr:colOff>5079368</xdr:colOff>
      <xdr:row>2</xdr:row>
      <xdr:rowOff>38100</xdr:rowOff>
    </xdr:to>
    <xdr:sp macro="" textlink="">
      <xdr:nvSpPr>
        <xdr:cNvPr id="11" name="Retângulo 10">
          <a:hlinkClick xmlns:r="http://schemas.openxmlformats.org/officeDocument/2006/relationships" r:id="rId3"/>
          <a:extLst>
            <a:ext uri="{FF2B5EF4-FFF2-40B4-BE49-F238E27FC236}">
              <a16:creationId xmlns="" xmlns:a16="http://schemas.microsoft.com/office/drawing/2014/main" id="{8F7A2942-91AE-4BCE-8A2B-ACBDBE83EEAE}"/>
            </a:ext>
          </a:extLst>
        </xdr:cNvPr>
        <xdr:cNvSpPr/>
      </xdr:nvSpPr>
      <xdr:spPr>
        <a:xfrm>
          <a:off x="4324343"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Sugestões</a:t>
          </a:r>
        </a:p>
      </xdr:txBody>
    </xdr:sp>
    <xdr:clientData/>
  </xdr:twoCellAnchor>
  <xdr:twoCellAnchor editAs="absolute">
    <xdr:from>
      <xdr:col>1</xdr:col>
      <xdr:colOff>5133968</xdr:colOff>
      <xdr:row>1</xdr:row>
      <xdr:rowOff>57150</xdr:rowOff>
    </xdr:from>
    <xdr:to>
      <xdr:col>3</xdr:col>
      <xdr:colOff>126368</xdr:colOff>
      <xdr:row>2</xdr:row>
      <xdr:rowOff>38100</xdr:rowOff>
    </xdr:to>
    <xdr:sp macro="" textlink="">
      <xdr:nvSpPr>
        <xdr:cNvPr id="12" name="Retângulo 11">
          <a:hlinkClick xmlns:r="http://schemas.openxmlformats.org/officeDocument/2006/relationships" r:id="rId4"/>
          <a:extLst>
            <a:ext uri="{FF2B5EF4-FFF2-40B4-BE49-F238E27FC236}">
              <a16:creationId xmlns="" xmlns:a16="http://schemas.microsoft.com/office/drawing/2014/main" id="{8F7A2942-91AE-4BCE-8A2B-ACBDBE83EEAE}"/>
            </a:ext>
          </a:extLst>
        </xdr:cNvPr>
        <xdr:cNvSpPr/>
      </xdr:nvSpPr>
      <xdr:spPr>
        <a:xfrm>
          <a:off x="5314943"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Sobre nós</a:t>
          </a:r>
        </a:p>
      </xdr:txBody>
    </xdr:sp>
    <xdr:clientData/>
  </xdr:twoCellAnchor>
  <xdr:twoCellAnchor editAs="absolute">
    <xdr:from>
      <xdr:col>1</xdr:col>
      <xdr:colOff>2170374</xdr:colOff>
      <xdr:row>0</xdr:row>
      <xdr:rowOff>0</xdr:rowOff>
    </xdr:from>
    <xdr:to>
      <xdr:col>1</xdr:col>
      <xdr:colOff>3234533</xdr:colOff>
      <xdr:row>1</xdr:row>
      <xdr:rowOff>15000</xdr:rowOff>
    </xdr:to>
    <xdr:sp macro="" textlink="">
      <xdr:nvSpPr>
        <xdr:cNvPr id="13" name="Retângulo 12">
          <a:hlinkClick xmlns:r="http://schemas.openxmlformats.org/officeDocument/2006/relationships" r:id="rId5"/>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1</xdr:col>
      <xdr:colOff>3305699</xdr:colOff>
      <xdr:row>0</xdr:row>
      <xdr:rowOff>0</xdr:rowOff>
    </xdr:from>
    <xdr:to>
      <xdr:col>1</xdr:col>
      <xdr:colOff>4469335</xdr:colOff>
      <xdr:row>1</xdr:row>
      <xdr:rowOff>15000</xdr:rowOff>
    </xdr:to>
    <xdr:sp macro="" textlink="">
      <xdr:nvSpPr>
        <xdr:cNvPr id="14" name="Retângulo 13">
          <a:hlinkClick xmlns:r="http://schemas.openxmlformats.org/officeDocument/2006/relationships" r:id="rId6"/>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1</xdr:col>
      <xdr:colOff>5648312</xdr:colOff>
      <xdr:row>0</xdr:row>
      <xdr:rowOff>0</xdr:rowOff>
    </xdr:from>
    <xdr:to>
      <xdr:col>3</xdr:col>
      <xdr:colOff>749820</xdr:colOff>
      <xdr:row>1</xdr:row>
      <xdr:rowOff>15000</xdr:rowOff>
    </xdr:to>
    <xdr:sp macro="" textlink="">
      <xdr:nvSpPr>
        <xdr:cNvPr id="15" name="Retângulo 14">
          <a:hlinkClick xmlns:r="http://schemas.openxmlformats.org/officeDocument/2006/relationships" r:id="rId7"/>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3</xdr:col>
      <xdr:colOff>1938320</xdr:colOff>
      <xdr:row>0</xdr:row>
      <xdr:rowOff>0</xdr:rowOff>
    </xdr:from>
    <xdr:to>
      <xdr:col>3</xdr:col>
      <xdr:colOff>3012004</xdr:colOff>
      <xdr:row>1</xdr:row>
      <xdr:rowOff>15000</xdr:rowOff>
    </xdr:to>
    <xdr:sp macro="" textlink="">
      <xdr:nvSpPr>
        <xdr:cNvPr id="16" name="Retângulo 15">
          <a:hlinkClick xmlns:r="http://schemas.openxmlformats.org/officeDocument/2006/relationships" r:id="rId1"/>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INSTUÇÕES</a:t>
          </a:r>
        </a:p>
      </xdr:txBody>
    </xdr:sp>
    <xdr:clientData/>
  </xdr:twoCellAnchor>
  <xdr:twoCellAnchor editAs="absolute">
    <xdr:from>
      <xdr:col>0</xdr:col>
      <xdr:colOff>0</xdr:colOff>
      <xdr:row>0</xdr:row>
      <xdr:rowOff>0</xdr:rowOff>
    </xdr:from>
    <xdr:to>
      <xdr:col>1</xdr:col>
      <xdr:colOff>781208</xdr:colOff>
      <xdr:row>0</xdr:row>
      <xdr:rowOff>378000</xdr:rowOff>
    </xdr:to>
    <xdr:pic>
      <xdr:nvPicPr>
        <xdr:cNvPr id="17" name="Imagem 1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1</xdr:col>
      <xdr:colOff>4533893</xdr:colOff>
      <xdr:row>0</xdr:row>
      <xdr:rowOff>0</xdr:rowOff>
    </xdr:from>
    <xdr:to>
      <xdr:col>1</xdr:col>
      <xdr:colOff>5579001</xdr:colOff>
      <xdr:row>1</xdr:row>
      <xdr:rowOff>15000</xdr:rowOff>
    </xdr:to>
    <xdr:sp macro="" textlink="">
      <xdr:nvSpPr>
        <xdr:cNvPr id="18" name="Retângulo 17">
          <a:hlinkClick xmlns:r="http://schemas.openxmlformats.org/officeDocument/2006/relationships" r:id="rId9"/>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3</xdr:col>
      <xdr:colOff>809618</xdr:colOff>
      <xdr:row>0</xdr:row>
      <xdr:rowOff>0</xdr:rowOff>
    </xdr:from>
    <xdr:to>
      <xdr:col>3</xdr:col>
      <xdr:colOff>1854726</xdr:colOff>
      <xdr:row>1</xdr:row>
      <xdr:rowOff>15000</xdr:rowOff>
    </xdr:to>
    <xdr:sp macro="" textlink="">
      <xdr:nvSpPr>
        <xdr:cNvPr id="19" name="Retângulo 18">
          <a:hlinkClick xmlns:r="http://schemas.openxmlformats.org/officeDocument/2006/relationships" r:id="rId10"/>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371475</xdr:colOff>
      <xdr:row>3</xdr:row>
      <xdr:rowOff>16934</xdr:rowOff>
    </xdr:from>
    <xdr:ext cx="4505326" cy="585545"/>
    <xdr:sp macro="" textlink="">
      <xdr:nvSpPr>
        <xdr:cNvPr id="2" name="CaixaDeTexto 1">
          <a:extLst>
            <a:ext uri="{FF2B5EF4-FFF2-40B4-BE49-F238E27FC236}">
              <a16:creationId xmlns:a16="http://schemas.microsoft.com/office/drawing/2014/main" xmlns="" id="{16337F32-E358-440E-AA28-C2AF9E2B6D2A}"/>
            </a:ext>
          </a:extLst>
        </xdr:cNvPr>
        <xdr:cNvSpPr txBox="1"/>
      </xdr:nvSpPr>
      <xdr:spPr>
        <a:xfrm>
          <a:off x="12820650" y="959909"/>
          <a:ext cx="4505326" cy="585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050">
              <a:solidFill>
                <a:schemeClr val="tx1">
                  <a:lumMod val="65000"/>
                  <a:lumOff val="35000"/>
                </a:schemeClr>
              </a:solidFill>
            </a:rPr>
            <a:t>Além</a:t>
          </a:r>
          <a:r>
            <a:rPr lang="pt-BR" sz="1050" baseline="0">
              <a:solidFill>
                <a:schemeClr val="tx1">
                  <a:lumMod val="65000"/>
                  <a:lumOff val="35000"/>
                </a:schemeClr>
              </a:solidFill>
            </a:rPr>
            <a:t> dessa planilha, você pode usar outras planilhas para melhorar a gestão da sua empresa. Todas as planilhas da SOUZA já estão prontas e são práticas de se usar!</a:t>
          </a:r>
          <a:endParaRPr lang="pt-BR" sz="1050">
            <a:solidFill>
              <a:schemeClr val="tx1">
                <a:lumMod val="65000"/>
                <a:lumOff val="35000"/>
              </a:schemeClr>
            </a:solidFill>
          </a:endParaRPr>
        </a:p>
      </xdr:txBody>
    </xdr:sp>
    <xdr:clientData/>
  </xdr:oneCellAnchor>
  <xdr:twoCellAnchor editAs="oneCell">
    <xdr:from>
      <xdr:col>8</xdr:col>
      <xdr:colOff>885825</xdr:colOff>
      <xdr:row>3</xdr:row>
      <xdr:rowOff>257175</xdr:rowOff>
    </xdr:from>
    <xdr:to>
      <xdr:col>12</xdr:col>
      <xdr:colOff>178800</xdr:colOff>
      <xdr:row>13</xdr:row>
      <xdr:rowOff>89175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7425" y="1200150"/>
          <a:ext cx="2160000" cy="2880000"/>
        </a:xfrm>
        <a:prstGeom prst="rect">
          <a:avLst/>
        </a:prstGeom>
      </xdr:spPr>
    </xdr:pic>
    <xdr:clientData/>
  </xdr:twoCellAnchor>
  <xdr:twoCellAnchor editAs="absolute">
    <xdr:from>
      <xdr:col>2</xdr:col>
      <xdr:colOff>1589346</xdr:colOff>
      <xdr:row>1</xdr:row>
      <xdr:rowOff>57150</xdr:rowOff>
    </xdr:from>
    <xdr:to>
      <xdr:col>2</xdr:col>
      <xdr:colOff>2525346</xdr:colOff>
      <xdr:row>2</xdr:row>
      <xdr:rowOff>38100</xdr:rowOff>
    </xdr:to>
    <xdr:sp macro="" textlink="">
      <xdr:nvSpPr>
        <xdr:cNvPr id="8" name="Retângulo 7">
          <a:hlinkClick xmlns:r="http://schemas.openxmlformats.org/officeDocument/2006/relationships" r:id="rId3"/>
          <a:extLst>
            <a:ext uri="{FF2B5EF4-FFF2-40B4-BE49-F238E27FC236}">
              <a16:creationId xmlns="" xmlns:a16="http://schemas.microsoft.com/office/drawing/2014/main" id="{DA51B8B2-F2D7-4326-A77A-BE56CE7C72D4}"/>
            </a:ext>
          </a:extLst>
        </xdr:cNvPr>
        <xdr:cNvSpPr/>
      </xdr:nvSpPr>
      <xdr:spPr>
        <a:xfrm>
          <a:off x="2351346"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Passo a passo</a:t>
          </a:r>
        </a:p>
      </xdr:txBody>
    </xdr:sp>
    <xdr:clientData/>
  </xdr:twoCellAnchor>
  <xdr:twoCellAnchor editAs="absolute">
    <xdr:from>
      <xdr:col>2</xdr:col>
      <xdr:colOff>2571744</xdr:colOff>
      <xdr:row>1</xdr:row>
      <xdr:rowOff>57150</xdr:rowOff>
    </xdr:from>
    <xdr:to>
      <xdr:col>2</xdr:col>
      <xdr:colOff>3507744</xdr:colOff>
      <xdr:row>2</xdr:row>
      <xdr:rowOff>38100</xdr:rowOff>
    </xdr:to>
    <xdr:sp macro="" textlink="">
      <xdr:nvSpPr>
        <xdr:cNvPr id="9" name="Retângulo 8">
          <a:hlinkClick xmlns:r="http://schemas.openxmlformats.org/officeDocument/2006/relationships" r:id="rId4"/>
          <a:extLst>
            <a:ext uri="{FF2B5EF4-FFF2-40B4-BE49-F238E27FC236}">
              <a16:creationId xmlns="" xmlns:a16="http://schemas.microsoft.com/office/drawing/2014/main" id="{8F7A2942-91AE-4BCE-8A2B-ACBDBE83EEAE}"/>
            </a:ext>
          </a:extLst>
        </xdr:cNvPr>
        <xdr:cNvSpPr/>
      </xdr:nvSpPr>
      <xdr:spPr>
        <a:xfrm>
          <a:off x="3333744"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Dúvidas</a:t>
          </a:r>
        </a:p>
      </xdr:txBody>
    </xdr:sp>
    <xdr:clientData/>
  </xdr:twoCellAnchor>
  <xdr:twoCellAnchor editAs="absolute">
    <xdr:from>
      <xdr:col>2</xdr:col>
      <xdr:colOff>3562343</xdr:colOff>
      <xdr:row>1</xdr:row>
      <xdr:rowOff>57150</xdr:rowOff>
    </xdr:from>
    <xdr:to>
      <xdr:col>2</xdr:col>
      <xdr:colOff>4498343</xdr:colOff>
      <xdr:row>2</xdr:row>
      <xdr:rowOff>38100</xdr:rowOff>
    </xdr:to>
    <xdr:sp macro="" textlink="">
      <xdr:nvSpPr>
        <xdr:cNvPr id="13" name="Retângulo 12">
          <a:hlinkClick xmlns:r="http://schemas.openxmlformats.org/officeDocument/2006/relationships" r:id="rId5"/>
          <a:extLst>
            <a:ext uri="{FF2B5EF4-FFF2-40B4-BE49-F238E27FC236}">
              <a16:creationId xmlns="" xmlns:a16="http://schemas.microsoft.com/office/drawing/2014/main" id="{8F7A2942-91AE-4BCE-8A2B-ACBDBE83EEAE}"/>
            </a:ext>
          </a:extLst>
        </xdr:cNvPr>
        <xdr:cNvSpPr/>
      </xdr:nvSpPr>
      <xdr:spPr>
        <a:xfrm>
          <a:off x="4324343" y="438150"/>
          <a:ext cx="936000" cy="295275"/>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Sugestões</a:t>
          </a:r>
        </a:p>
      </xdr:txBody>
    </xdr:sp>
    <xdr:clientData/>
  </xdr:twoCellAnchor>
  <xdr:twoCellAnchor editAs="absolute">
    <xdr:from>
      <xdr:col>2</xdr:col>
      <xdr:colOff>4552943</xdr:colOff>
      <xdr:row>1</xdr:row>
      <xdr:rowOff>57150</xdr:rowOff>
    </xdr:from>
    <xdr:to>
      <xdr:col>3</xdr:col>
      <xdr:colOff>745493</xdr:colOff>
      <xdr:row>2</xdr:row>
      <xdr:rowOff>38100</xdr:rowOff>
    </xdr:to>
    <xdr:sp macro="" textlink="">
      <xdr:nvSpPr>
        <xdr:cNvPr id="14" name="Retângulo 13">
          <a:hlinkClick xmlns:r="http://schemas.openxmlformats.org/officeDocument/2006/relationships" r:id="rId6"/>
          <a:extLst>
            <a:ext uri="{FF2B5EF4-FFF2-40B4-BE49-F238E27FC236}">
              <a16:creationId xmlns="" xmlns:a16="http://schemas.microsoft.com/office/drawing/2014/main" id="{8F7A2942-91AE-4BCE-8A2B-ACBDBE83EEAE}"/>
            </a:ext>
          </a:extLst>
        </xdr:cNvPr>
        <xdr:cNvSpPr/>
      </xdr:nvSpPr>
      <xdr:spPr>
        <a:xfrm>
          <a:off x="5314943"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Sobre nós</a:t>
          </a:r>
        </a:p>
      </xdr:txBody>
    </xdr:sp>
    <xdr:clientData/>
  </xdr:twoCellAnchor>
  <xdr:twoCellAnchor editAs="oneCell">
    <xdr:from>
      <xdr:col>5</xdr:col>
      <xdr:colOff>0</xdr:colOff>
      <xdr:row>3</xdr:row>
      <xdr:rowOff>257175</xdr:rowOff>
    </xdr:from>
    <xdr:to>
      <xdr:col>8</xdr:col>
      <xdr:colOff>569325</xdr:colOff>
      <xdr:row>13</xdr:row>
      <xdr:rowOff>89175</xdr:rowOff>
    </xdr:to>
    <xdr:pic>
      <xdr:nvPicPr>
        <xdr:cNvPr id="15" name="Imagem 14">
          <a:hlinkClick xmlns:r="http://schemas.openxmlformats.org/officeDocument/2006/relationships" r:id="rId7"/>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400925" y="1200150"/>
          <a:ext cx="2160000" cy="2880000"/>
        </a:xfrm>
        <a:prstGeom prst="rect">
          <a:avLst/>
        </a:prstGeom>
      </xdr:spPr>
    </xdr:pic>
    <xdr:clientData/>
  </xdr:twoCellAnchor>
  <xdr:twoCellAnchor editAs="absolute">
    <xdr:from>
      <xdr:col>2</xdr:col>
      <xdr:colOff>1589349</xdr:colOff>
      <xdr:row>0</xdr:row>
      <xdr:rowOff>0</xdr:rowOff>
    </xdr:from>
    <xdr:to>
      <xdr:col>2</xdr:col>
      <xdr:colOff>2653508</xdr:colOff>
      <xdr:row>1</xdr:row>
      <xdr:rowOff>15000</xdr:rowOff>
    </xdr:to>
    <xdr:sp macro="" textlink="">
      <xdr:nvSpPr>
        <xdr:cNvPr id="16" name="Retângulo 15">
          <a:hlinkClick xmlns:r="http://schemas.openxmlformats.org/officeDocument/2006/relationships" r:id="rId9"/>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2</xdr:col>
      <xdr:colOff>2724674</xdr:colOff>
      <xdr:row>0</xdr:row>
      <xdr:rowOff>0</xdr:rowOff>
    </xdr:from>
    <xdr:to>
      <xdr:col>2</xdr:col>
      <xdr:colOff>3888310</xdr:colOff>
      <xdr:row>1</xdr:row>
      <xdr:rowOff>15000</xdr:rowOff>
    </xdr:to>
    <xdr:sp macro="" textlink="">
      <xdr:nvSpPr>
        <xdr:cNvPr id="17" name="Retângulo 16">
          <a:hlinkClick xmlns:r="http://schemas.openxmlformats.org/officeDocument/2006/relationships" r:id="rId10"/>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3</xdr:col>
      <xdr:colOff>323837</xdr:colOff>
      <xdr:row>0</xdr:row>
      <xdr:rowOff>0</xdr:rowOff>
    </xdr:from>
    <xdr:to>
      <xdr:col>4</xdr:col>
      <xdr:colOff>225945</xdr:colOff>
      <xdr:row>1</xdr:row>
      <xdr:rowOff>15000</xdr:rowOff>
    </xdr:to>
    <xdr:sp macro="" textlink="">
      <xdr:nvSpPr>
        <xdr:cNvPr id="18" name="Retângulo 17">
          <a:hlinkClick xmlns:r="http://schemas.openxmlformats.org/officeDocument/2006/relationships" r:id="rId11"/>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6</xdr:col>
      <xdr:colOff>252395</xdr:colOff>
      <xdr:row>0</xdr:row>
      <xdr:rowOff>0</xdr:rowOff>
    </xdr:from>
    <xdr:to>
      <xdr:col>8</xdr:col>
      <xdr:colOff>144979</xdr:colOff>
      <xdr:row>1</xdr:row>
      <xdr:rowOff>15000</xdr:rowOff>
    </xdr:to>
    <xdr:sp macro="" textlink="">
      <xdr:nvSpPr>
        <xdr:cNvPr id="19" name="Retângulo 18">
          <a:hlinkClick xmlns:r="http://schemas.openxmlformats.org/officeDocument/2006/relationships" r:id="rId3"/>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INSTUÇÕES</a:t>
          </a:r>
        </a:p>
      </xdr:txBody>
    </xdr:sp>
    <xdr:clientData/>
  </xdr:twoCellAnchor>
  <xdr:twoCellAnchor editAs="absolute">
    <xdr:from>
      <xdr:col>0</xdr:col>
      <xdr:colOff>0</xdr:colOff>
      <xdr:row>0</xdr:row>
      <xdr:rowOff>0</xdr:rowOff>
    </xdr:from>
    <xdr:to>
      <xdr:col>2</xdr:col>
      <xdr:colOff>200183</xdr:colOff>
      <xdr:row>0</xdr:row>
      <xdr:rowOff>378000</xdr:rowOff>
    </xdr:to>
    <xdr:pic>
      <xdr:nvPicPr>
        <xdr:cNvPr id="20" name="Imagem 1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2</xdr:col>
      <xdr:colOff>3952868</xdr:colOff>
      <xdr:row>0</xdr:row>
      <xdr:rowOff>0</xdr:rowOff>
    </xdr:from>
    <xdr:to>
      <xdr:col>3</xdr:col>
      <xdr:colOff>254526</xdr:colOff>
      <xdr:row>1</xdr:row>
      <xdr:rowOff>15000</xdr:rowOff>
    </xdr:to>
    <xdr:sp macro="" textlink="">
      <xdr:nvSpPr>
        <xdr:cNvPr id="21" name="Retângulo 20">
          <a:hlinkClick xmlns:r="http://schemas.openxmlformats.org/officeDocument/2006/relationships" r:id="rId13"/>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4</xdr:col>
      <xdr:colOff>285743</xdr:colOff>
      <xdr:row>0</xdr:row>
      <xdr:rowOff>0</xdr:rowOff>
    </xdr:from>
    <xdr:to>
      <xdr:col>6</xdr:col>
      <xdr:colOff>168801</xdr:colOff>
      <xdr:row>1</xdr:row>
      <xdr:rowOff>15000</xdr:rowOff>
    </xdr:to>
    <xdr:sp macro="" textlink="">
      <xdr:nvSpPr>
        <xdr:cNvPr id="22" name="Retângulo 21">
          <a:hlinkClick xmlns:r="http://schemas.openxmlformats.org/officeDocument/2006/relationships" r:id="rId14"/>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4</xdr:row>
      <xdr:rowOff>57150</xdr:rowOff>
    </xdr:from>
    <xdr:to>
      <xdr:col>4</xdr:col>
      <xdr:colOff>202200</xdr:colOff>
      <xdr:row>10</xdr:row>
      <xdr:rowOff>240300</xdr:rowOff>
    </xdr:to>
    <xdr:grpSp>
      <xdr:nvGrpSpPr>
        <xdr:cNvPr id="2" name="Grupo 1">
          <a:hlinkClick xmlns:r="http://schemas.openxmlformats.org/officeDocument/2006/relationships" r:id="rId1"/>
        </xdr:cNvPr>
        <xdr:cNvGrpSpPr/>
      </xdr:nvGrpSpPr>
      <xdr:grpSpPr>
        <a:xfrm>
          <a:off x="133350" y="1295400"/>
          <a:ext cx="2412000" cy="2412000"/>
          <a:chOff x="133350" y="1295400"/>
          <a:chExt cx="2412000" cy="2412000"/>
        </a:xfrm>
      </xdr:grpSpPr>
      <xdr:sp macro="" textlink="">
        <xdr:nvSpPr>
          <xdr:cNvPr id="3" name="Retângulo 2"/>
          <xdr:cNvSpPr>
            <a:spLocks noChangeAspect="1"/>
          </xdr:cNvSpPr>
        </xdr:nvSpPr>
        <xdr:spPr>
          <a:xfrm>
            <a:off x="133350"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xdr:cNvSpPr txBox="1"/>
        </xdr:nvSpPr>
        <xdr:spPr>
          <a:xfrm>
            <a:off x="133350"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Planilhas Profissionais Prontas</a:t>
            </a:r>
          </a:p>
        </xdr:txBody>
      </xdr:sp>
      <xdr:sp macro="" textlink="">
        <xdr:nvSpPr>
          <xdr:cNvPr id="5" name="CaixaDeTexto 4"/>
          <xdr:cNvSpPr txBox="1"/>
        </xdr:nvSpPr>
        <xdr:spPr>
          <a:xfrm>
            <a:off x="133350"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souzasistemas.com</a:t>
            </a:r>
          </a:p>
        </xdr:txBody>
      </xdr:sp>
      <xdr:pic>
        <xdr:nvPicPr>
          <xdr:cNvPr id="6" name="Imagem 5" descr="Excel icon PNG, ICO or ICNS | Free vector icons"/>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iLevel thresh="25000"/>
            <a:extLst>
              <a:ext uri="{28A0092B-C50C-407E-A947-70E740481C1C}">
                <a14:useLocalDpi xmlns:a14="http://schemas.microsoft.com/office/drawing/2010/main" val="0"/>
              </a:ext>
            </a:extLst>
          </a:blip>
          <a:srcRect/>
          <a:stretch>
            <a:fillRect/>
          </a:stretch>
        </xdr:blipFill>
        <xdr:spPr bwMode="auto">
          <a:xfrm>
            <a:off x="600075" y="2047875"/>
            <a:ext cx="1440000" cy="144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4</xdr:col>
      <xdr:colOff>276225</xdr:colOff>
      <xdr:row>4</xdr:row>
      <xdr:rowOff>57150</xdr:rowOff>
    </xdr:from>
    <xdr:to>
      <xdr:col>7</xdr:col>
      <xdr:colOff>516525</xdr:colOff>
      <xdr:row>10</xdr:row>
      <xdr:rowOff>240300</xdr:rowOff>
    </xdr:to>
    <xdr:grpSp>
      <xdr:nvGrpSpPr>
        <xdr:cNvPr id="7" name="Grupo 6">
          <a:hlinkClick xmlns:r="http://schemas.openxmlformats.org/officeDocument/2006/relationships" r:id="rId3"/>
        </xdr:cNvPr>
        <xdr:cNvGrpSpPr/>
      </xdr:nvGrpSpPr>
      <xdr:grpSpPr>
        <a:xfrm>
          <a:off x="2619375" y="1295400"/>
          <a:ext cx="2412000" cy="2412000"/>
          <a:chOff x="2619375" y="1295400"/>
          <a:chExt cx="2412000" cy="2412000"/>
        </a:xfrm>
      </xdr:grpSpPr>
      <xdr:sp macro="" textlink="">
        <xdr:nvSpPr>
          <xdr:cNvPr id="8" name="Retângulo 7"/>
          <xdr:cNvSpPr>
            <a:spLocks noChangeAspect="1"/>
          </xdr:cNvSpPr>
        </xdr:nvSpPr>
        <xdr:spPr>
          <a:xfrm>
            <a:off x="2619375"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CaixaDeTexto 8"/>
          <xdr:cNvSpPr txBox="1"/>
        </xdr:nvSpPr>
        <xdr:spPr>
          <a:xfrm>
            <a:off x="2619375"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Instagram</a:t>
            </a:r>
          </a:p>
        </xdr:txBody>
      </xdr:sp>
      <xdr:sp macro="" textlink="">
        <xdr:nvSpPr>
          <xdr:cNvPr id="10" name="CaixaDeTexto 9"/>
          <xdr:cNvSpPr txBox="1"/>
        </xdr:nvSpPr>
        <xdr:spPr>
          <a:xfrm>
            <a:off x="2619375"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instagram.com/souza_sistemas</a:t>
            </a:r>
          </a:p>
        </xdr:txBody>
      </xdr:sp>
      <xdr:pic>
        <xdr:nvPicPr>
          <xdr:cNvPr id="11" name="Imagem 10"/>
          <xdr:cNvPicPr>
            <a:picLocks noChangeAspect="1"/>
          </xdr:cNvPicPr>
        </xdr:nvPicPr>
        <xdr:blipFill>
          <a:blip xmlns:r="http://schemas.openxmlformats.org/officeDocument/2006/relationships" r:embed="rId4"/>
          <a:stretch>
            <a:fillRect/>
          </a:stretch>
        </xdr:blipFill>
        <xdr:spPr>
          <a:xfrm>
            <a:off x="3219450" y="2171700"/>
            <a:ext cx="1260000" cy="1260000"/>
          </a:xfrm>
          <a:prstGeom prst="rect">
            <a:avLst/>
          </a:prstGeom>
        </xdr:spPr>
      </xdr:pic>
    </xdr:grpSp>
    <xdr:clientData/>
  </xdr:twoCellAnchor>
  <xdr:twoCellAnchor editAs="absolute">
    <xdr:from>
      <xdr:col>7</xdr:col>
      <xdr:colOff>561975</xdr:colOff>
      <xdr:row>4</xdr:row>
      <xdr:rowOff>57150</xdr:rowOff>
    </xdr:from>
    <xdr:to>
      <xdr:col>11</xdr:col>
      <xdr:colOff>78375</xdr:colOff>
      <xdr:row>10</xdr:row>
      <xdr:rowOff>240300</xdr:rowOff>
    </xdr:to>
    <xdr:grpSp>
      <xdr:nvGrpSpPr>
        <xdr:cNvPr id="12" name="Grupo 11">
          <a:hlinkClick xmlns:r="http://schemas.openxmlformats.org/officeDocument/2006/relationships" r:id="rId5"/>
        </xdr:cNvPr>
        <xdr:cNvGrpSpPr/>
      </xdr:nvGrpSpPr>
      <xdr:grpSpPr>
        <a:xfrm>
          <a:off x="5076825" y="1295400"/>
          <a:ext cx="2412000" cy="2412000"/>
          <a:chOff x="5076825" y="1295400"/>
          <a:chExt cx="2412000" cy="2412000"/>
        </a:xfrm>
      </xdr:grpSpPr>
      <xdr:sp macro="" textlink="">
        <xdr:nvSpPr>
          <xdr:cNvPr id="13" name="Retângulo 12"/>
          <xdr:cNvSpPr>
            <a:spLocks noChangeAspect="1"/>
          </xdr:cNvSpPr>
        </xdr:nvSpPr>
        <xdr:spPr>
          <a:xfrm>
            <a:off x="5076825"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4" name="CaixaDeTexto 13"/>
          <xdr:cNvSpPr txBox="1"/>
        </xdr:nvSpPr>
        <xdr:spPr>
          <a:xfrm>
            <a:off x="5076825"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Facebook</a:t>
            </a:r>
          </a:p>
        </xdr:txBody>
      </xdr:sp>
      <xdr:sp macro="" textlink="">
        <xdr:nvSpPr>
          <xdr:cNvPr id="15" name="CaixaDeTexto 14"/>
          <xdr:cNvSpPr txBox="1"/>
        </xdr:nvSpPr>
        <xdr:spPr>
          <a:xfrm>
            <a:off x="5076825"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facebook.com/souzasistemas</a:t>
            </a:r>
          </a:p>
        </xdr:txBody>
      </xdr:sp>
      <xdr:pic>
        <xdr:nvPicPr>
          <xdr:cNvPr id="16" name="Imagem 15"/>
          <xdr:cNvPicPr>
            <a:picLocks noChangeAspect="1"/>
          </xdr:cNvPicPr>
        </xdr:nvPicPr>
        <xdr:blipFill>
          <a:blip xmlns:r="http://schemas.openxmlformats.org/officeDocument/2006/relationships" r:embed="rId6"/>
          <a:stretch>
            <a:fillRect/>
          </a:stretch>
        </xdr:blipFill>
        <xdr:spPr>
          <a:xfrm>
            <a:off x="5686425" y="2171700"/>
            <a:ext cx="1260000" cy="1260000"/>
          </a:xfrm>
          <a:prstGeom prst="rect">
            <a:avLst/>
          </a:prstGeom>
        </xdr:spPr>
      </xdr:pic>
    </xdr:grpSp>
    <xdr:clientData/>
  </xdr:twoCellAnchor>
  <xdr:twoCellAnchor editAs="absolute">
    <xdr:from>
      <xdr:col>11</xdr:col>
      <xdr:colOff>142875</xdr:colOff>
      <xdr:row>4</xdr:row>
      <xdr:rowOff>57150</xdr:rowOff>
    </xdr:from>
    <xdr:to>
      <xdr:col>14</xdr:col>
      <xdr:colOff>383175</xdr:colOff>
      <xdr:row>10</xdr:row>
      <xdr:rowOff>240300</xdr:rowOff>
    </xdr:to>
    <xdr:grpSp>
      <xdr:nvGrpSpPr>
        <xdr:cNvPr id="17" name="Grupo 16">
          <a:hlinkClick xmlns:r="http://schemas.openxmlformats.org/officeDocument/2006/relationships" r:id="rId7"/>
        </xdr:cNvPr>
        <xdr:cNvGrpSpPr/>
      </xdr:nvGrpSpPr>
      <xdr:grpSpPr>
        <a:xfrm>
          <a:off x="7553325" y="1295400"/>
          <a:ext cx="2412000" cy="2412000"/>
          <a:chOff x="7553325" y="1295400"/>
          <a:chExt cx="2412000" cy="2412000"/>
        </a:xfrm>
      </xdr:grpSpPr>
      <xdr:sp macro="" textlink="">
        <xdr:nvSpPr>
          <xdr:cNvPr id="18" name="Retângulo 17"/>
          <xdr:cNvSpPr>
            <a:spLocks noChangeAspect="1"/>
          </xdr:cNvSpPr>
        </xdr:nvSpPr>
        <xdr:spPr>
          <a:xfrm>
            <a:off x="7553325"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9" name="CaixaDeTexto 18"/>
          <xdr:cNvSpPr txBox="1"/>
        </xdr:nvSpPr>
        <xdr:spPr>
          <a:xfrm>
            <a:off x="7553325"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Vídeo</a:t>
            </a:r>
            <a:r>
              <a:rPr lang="pt-BR" sz="1400" b="1" baseline="0">
                <a:solidFill>
                  <a:srgbClr val="C00000"/>
                </a:solidFill>
                <a:latin typeface="Arial Narrow" panose="020B0606020202030204" pitchFamily="34" charset="0"/>
                <a:cs typeface="Arial" panose="020B0604020202020204" pitchFamily="34" charset="0"/>
              </a:rPr>
              <a:t> Aulas de Excel Gratuito</a:t>
            </a:r>
            <a:endParaRPr lang="pt-BR" sz="1400" b="1">
              <a:solidFill>
                <a:srgbClr val="C00000"/>
              </a:solidFill>
              <a:latin typeface="Arial Narrow" panose="020B0606020202030204" pitchFamily="34" charset="0"/>
              <a:cs typeface="Arial" panose="020B0604020202020204" pitchFamily="34" charset="0"/>
            </a:endParaRPr>
          </a:p>
        </xdr:txBody>
      </xdr:sp>
      <xdr:sp macro="" textlink="">
        <xdr:nvSpPr>
          <xdr:cNvPr id="20" name="CaixaDeTexto 19"/>
          <xdr:cNvSpPr txBox="1"/>
        </xdr:nvSpPr>
        <xdr:spPr>
          <a:xfrm>
            <a:off x="7553325"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youtube.com/c/FlavioSouza3350</a:t>
            </a:r>
          </a:p>
        </xdr:txBody>
      </xdr:sp>
      <xdr:pic>
        <xdr:nvPicPr>
          <xdr:cNvPr id="21" name="Imagem 20"/>
          <xdr:cNvPicPr>
            <a:picLocks noChangeAspect="1"/>
          </xdr:cNvPicPr>
        </xdr:nvPicPr>
        <xdr:blipFill>
          <a:blip xmlns:r="http://schemas.openxmlformats.org/officeDocument/2006/relationships" r:embed="rId8"/>
          <a:stretch>
            <a:fillRect/>
          </a:stretch>
        </xdr:blipFill>
        <xdr:spPr>
          <a:xfrm>
            <a:off x="8143875" y="2171700"/>
            <a:ext cx="1260000" cy="1260000"/>
          </a:xfrm>
          <a:prstGeom prst="rect">
            <a:avLst/>
          </a:prstGeom>
        </xdr:spPr>
      </xdr:pic>
    </xdr:grpSp>
    <xdr:clientData/>
  </xdr:twoCellAnchor>
  <xdr:twoCellAnchor editAs="absolute">
    <xdr:from>
      <xdr:col>14</xdr:col>
      <xdr:colOff>447676</xdr:colOff>
      <xdr:row>4</xdr:row>
      <xdr:rowOff>57150</xdr:rowOff>
    </xdr:from>
    <xdr:to>
      <xdr:col>18</xdr:col>
      <xdr:colOff>192676</xdr:colOff>
      <xdr:row>10</xdr:row>
      <xdr:rowOff>240300</xdr:rowOff>
    </xdr:to>
    <xdr:grpSp>
      <xdr:nvGrpSpPr>
        <xdr:cNvPr id="22" name="Grupo 21">
          <a:hlinkClick xmlns:r="http://schemas.openxmlformats.org/officeDocument/2006/relationships" r:id="rId9"/>
        </xdr:cNvPr>
        <xdr:cNvGrpSpPr/>
      </xdr:nvGrpSpPr>
      <xdr:grpSpPr>
        <a:xfrm>
          <a:off x="10029826" y="1295400"/>
          <a:ext cx="2412000" cy="2412000"/>
          <a:chOff x="10029826" y="1295400"/>
          <a:chExt cx="2412000" cy="2412000"/>
        </a:xfrm>
      </xdr:grpSpPr>
      <xdr:sp macro="" textlink="">
        <xdr:nvSpPr>
          <xdr:cNvPr id="23" name="Retângulo 22"/>
          <xdr:cNvSpPr>
            <a:spLocks noChangeAspect="1"/>
          </xdr:cNvSpPr>
        </xdr:nvSpPr>
        <xdr:spPr>
          <a:xfrm>
            <a:off x="10029826" y="1295400"/>
            <a:ext cx="2412000" cy="241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4" name="CaixaDeTexto 23"/>
          <xdr:cNvSpPr txBox="1"/>
        </xdr:nvSpPr>
        <xdr:spPr>
          <a:xfrm>
            <a:off x="10029826" y="1428750"/>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C00000"/>
                </a:solidFill>
                <a:latin typeface="Arial Narrow" panose="020B0606020202030204" pitchFamily="34" charset="0"/>
                <a:cs typeface="Arial" panose="020B0604020202020204" pitchFamily="34" charset="0"/>
              </a:rPr>
              <a:t>Conteúdo</a:t>
            </a:r>
            <a:r>
              <a:rPr lang="pt-BR" sz="1400" b="1" baseline="0">
                <a:solidFill>
                  <a:srgbClr val="C00000"/>
                </a:solidFill>
                <a:latin typeface="Arial Narrow" panose="020B0606020202030204" pitchFamily="34" charset="0"/>
                <a:cs typeface="Arial" panose="020B0604020202020204" pitchFamily="34" charset="0"/>
              </a:rPr>
              <a:t> de Excel Gratuito</a:t>
            </a:r>
            <a:endParaRPr lang="pt-BR" sz="1400" b="1">
              <a:solidFill>
                <a:srgbClr val="C00000"/>
              </a:solidFill>
              <a:latin typeface="Arial Narrow" panose="020B0606020202030204" pitchFamily="34" charset="0"/>
              <a:cs typeface="Arial" panose="020B0604020202020204" pitchFamily="34" charset="0"/>
            </a:endParaRPr>
          </a:p>
        </xdr:txBody>
      </xdr:sp>
      <xdr:sp macro="" textlink="">
        <xdr:nvSpPr>
          <xdr:cNvPr id="25" name="CaixaDeTexto 24"/>
          <xdr:cNvSpPr txBox="1"/>
        </xdr:nvSpPr>
        <xdr:spPr>
          <a:xfrm>
            <a:off x="10029826" y="1704975"/>
            <a:ext cx="2412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0" i="0">
                <a:solidFill>
                  <a:schemeClr val="bg1"/>
                </a:solidFill>
                <a:latin typeface="Arial Narrow" panose="020B0606020202030204" pitchFamily="34" charset="0"/>
              </a:rPr>
              <a:t>blog.souza.xyz/</a:t>
            </a:r>
          </a:p>
        </xdr:txBody>
      </xdr:sp>
      <xdr:pic>
        <xdr:nvPicPr>
          <xdr:cNvPr id="26" name="Imagem 25"/>
          <xdr:cNvPicPr>
            <a:picLocks noChangeAspect="1"/>
          </xdr:cNvPicPr>
        </xdr:nvPicPr>
        <xdr:blipFill>
          <a:blip xmlns:r="http://schemas.openxmlformats.org/officeDocument/2006/relationships" r:embed="rId10">
            <a:clrChange>
              <a:clrFrom>
                <a:srgbClr val="000000"/>
              </a:clrFrom>
              <a:clrTo>
                <a:srgbClr val="000000">
                  <a:alpha val="0"/>
                </a:srgbClr>
              </a:clrTo>
            </a:clrChange>
          </a:blip>
          <a:stretch>
            <a:fillRect/>
          </a:stretch>
        </xdr:blipFill>
        <xdr:spPr>
          <a:xfrm>
            <a:off x="10696575" y="2265975"/>
            <a:ext cx="1080000" cy="1080000"/>
          </a:xfrm>
          <a:prstGeom prst="rect">
            <a:avLst/>
          </a:prstGeom>
        </xdr:spPr>
      </xdr:pic>
    </xdr:grpSp>
    <xdr:clientData/>
  </xdr:twoCellAnchor>
  <xdr:twoCellAnchor editAs="absolute">
    <xdr:from>
      <xdr:col>4</xdr:col>
      <xdr:colOff>8196</xdr:colOff>
      <xdr:row>1</xdr:row>
      <xdr:rowOff>57150</xdr:rowOff>
    </xdr:from>
    <xdr:to>
      <xdr:col>5</xdr:col>
      <xdr:colOff>220296</xdr:colOff>
      <xdr:row>2</xdr:row>
      <xdr:rowOff>38100</xdr:rowOff>
    </xdr:to>
    <xdr:sp macro="" textlink="">
      <xdr:nvSpPr>
        <xdr:cNvPr id="31" name="Retângulo 30">
          <a:hlinkClick xmlns:r="http://schemas.openxmlformats.org/officeDocument/2006/relationships" r:id="rId11"/>
          <a:extLst>
            <a:ext uri="{FF2B5EF4-FFF2-40B4-BE49-F238E27FC236}">
              <a16:creationId xmlns="" xmlns:a16="http://schemas.microsoft.com/office/drawing/2014/main" id="{DA51B8B2-F2D7-4326-A77A-BE56CE7C72D4}"/>
            </a:ext>
          </a:extLst>
        </xdr:cNvPr>
        <xdr:cNvSpPr/>
      </xdr:nvSpPr>
      <xdr:spPr>
        <a:xfrm>
          <a:off x="2351346"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Passo a passo</a:t>
          </a:r>
        </a:p>
      </xdr:txBody>
    </xdr:sp>
    <xdr:clientData/>
  </xdr:twoCellAnchor>
  <xdr:twoCellAnchor editAs="absolute">
    <xdr:from>
      <xdr:col>5</xdr:col>
      <xdr:colOff>266694</xdr:colOff>
      <xdr:row>1</xdr:row>
      <xdr:rowOff>57150</xdr:rowOff>
    </xdr:from>
    <xdr:to>
      <xdr:col>6</xdr:col>
      <xdr:colOff>478794</xdr:colOff>
      <xdr:row>2</xdr:row>
      <xdr:rowOff>38100</xdr:rowOff>
    </xdr:to>
    <xdr:sp macro="" textlink="">
      <xdr:nvSpPr>
        <xdr:cNvPr id="32" name="Retângulo 31">
          <a:hlinkClick xmlns:r="http://schemas.openxmlformats.org/officeDocument/2006/relationships" r:id="rId12"/>
          <a:extLst>
            <a:ext uri="{FF2B5EF4-FFF2-40B4-BE49-F238E27FC236}">
              <a16:creationId xmlns="" xmlns:a16="http://schemas.microsoft.com/office/drawing/2014/main" id="{8F7A2942-91AE-4BCE-8A2B-ACBDBE83EEAE}"/>
            </a:ext>
          </a:extLst>
        </xdr:cNvPr>
        <xdr:cNvSpPr/>
      </xdr:nvSpPr>
      <xdr:spPr>
        <a:xfrm>
          <a:off x="3333744"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Dúvidas</a:t>
          </a:r>
        </a:p>
      </xdr:txBody>
    </xdr:sp>
    <xdr:clientData/>
  </xdr:twoCellAnchor>
  <xdr:twoCellAnchor editAs="absolute">
    <xdr:from>
      <xdr:col>6</xdr:col>
      <xdr:colOff>533393</xdr:colOff>
      <xdr:row>1</xdr:row>
      <xdr:rowOff>57150</xdr:rowOff>
    </xdr:from>
    <xdr:to>
      <xdr:col>8</xdr:col>
      <xdr:colOff>21593</xdr:colOff>
      <xdr:row>2</xdr:row>
      <xdr:rowOff>38100</xdr:rowOff>
    </xdr:to>
    <xdr:sp macro="" textlink="">
      <xdr:nvSpPr>
        <xdr:cNvPr id="36" name="Retângulo 35">
          <a:hlinkClick xmlns:r="http://schemas.openxmlformats.org/officeDocument/2006/relationships" r:id="rId13"/>
          <a:extLst>
            <a:ext uri="{FF2B5EF4-FFF2-40B4-BE49-F238E27FC236}">
              <a16:creationId xmlns="" xmlns:a16="http://schemas.microsoft.com/office/drawing/2014/main" id="{8F7A2942-91AE-4BCE-8A2B-ACBDBE83EEAE}"/>
            </a:ext>
          </a:extLst>
        </xdr:cNvPr>
        <xdr:cNvSpPr/>
      </xdr:nvSpPr>
      <xdr:spPr>
        <a:xfrm>
          <a:off x="4324343" y="438150"/>
          <a:ext cx="936000" cy="29527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0">
              <a:solidFill>
                <a:schemeClr val="bg1"/>
              </a:solidFill>
            </a:rPr>
            <a:t>Sugestões</a:t>
          </a:r>
        </a:p>
      </xdr:txBody>
    </xdr:sp>
    <xdr:clientData/>
  </xdr:twoCellAnchor>
  <xdr:twoCellAnchor editAs="absolute">
    <xdr:from>
      <xdr:col>8</xdr:col>
      <xdr:colOff>76193</xdr:colOff>
      <xdr:row>1</xdr:row>
      <xdr:rowOff>57150</xdr:rowOff>
    </xdr:from>
    <xdr:to>
      <xdr:col>9</xdr:col>
      <xdr:colOff>288293</xdr:colOff>
      <xdr:row>2</xdr:row>
      <xdr:rowOff>38100</xdr:rowOff>
    </xdr:to>
    <xdr:sp macro="" textlink="">
      <xdr:nvSpPr>
        <xdr:cNvPr id="37" name="Retângulo 36">
          <a:hlinkClick xmlns:r="http://schemas.openxmlformats.org/officeDocument/2006/relationships" r:id="rId14"/>
          <a:extLst>
            <a:ext uri="{FF2B5EF4-FFF2-40B4-BE49-F238E27FC236}">
              <a16:creationId xmlns="" xmlns:a16="http://schemas.microsoft.com/office/drawing/2014/main" id="{8F7A2942-91AE-4BCE-8A2B-ACBDBE83EEAE}"/>
            </a:ext>
          </a:extLst>
        </xdr:cNvPr>
        <xdr:cNvSpPr/>
      </xdr:nvSpPr>
      <xdr:spPr>
        <a:xfrm>
          <a:off x="5314943" y="438150"/>
          <a:ext cx="936000" cy="295275"/>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36000" rIns="36000" bIns="36000" rtlCol="0" anchor="t"/>
        <a:lstStyle/>
        <a:p>
          <a:pPr algn="ctr"/>
          <a:r>
            <a:rPr lang="pt-BR" sz="1100" b="1">
              <a:solidFill>
                <a:sysClr val="windowText" lastClr="000000"/>
              </a:solidFill>
            </a:rPr>
            <a:t>Sobre nós</a:t>
          </a:r>
        </a:p>
      </xdr:txBody>
    </xdr:sp>
    <xdr:clientData/>
  </xdr:twoCellAnchor>
  <xdr:twoCellAnchor editAs="absolute">
    <xdr:from>
      <xdr:col>4</xdr:col>
      <xdr:colOff>8199</xdr:colOff>
      <xdr:row>0</xdr:row>
      <xdr:rowOff>0</xdr:rowOff>
    </xdr:from>
    <xdr:to>
      <xdr:col>5</xdr:col>
      <xdr:colOff>348458</xdr:colOff>
      <xdr:row>1</xdr:row>
      <xdr:rowOff>15000</xdr:rowOff>
    </xdr:to>
    <xdr:sp macro="" textlink="">
      <xdr:nvSpPr>
        <xdr:cNvPr id="38" name="Retângulo 37">
          <a:hlinkClick xmlns:r="http://schemas.openxmlformats.org/officeDocument/2006/relationships" r:id="rId15"/>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5</xdr:col>
      <xdr:colOff>419624</xdr:colOff>
      <xdr:row>0</xdr:row>
      <xdr:rowOff>0</xdr:rowOff>
    </xdr:from>
    <xdr:to>
      <xdr:col>7</xdr:col>
      <xdr:colOff>135460</xdr:colOff>
      <xdr:row>1</xdr:row>
      <xdr:rowOff>15000</xdr:rowOff>
    </xdr:to>
    <xdr:sp macro="" textlink="">
      <xdr:nvSpPr>
        <xdr:cNvPr id="39" name="Retângulo 38">
          <a:hlinkClick xmlns:r="http://schemas.openxmlformats.org/officeDocument/2006/relationships" r:id="rId16"/>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8</xdr:col>
      <xdr:colOff>590537</xdr:colOff>
      <xdr:row>0</xdr:row>
      <xdr:rowOff>0</xdr:rowOff>
    </xdr:from>
    <xdr:to>
      <xdr:col>10</xdr:col>
      <xdr:colOff>187845</xdr:colOff>
      <xdr:row>1</xdr:row>
      <xdr:rowOff>15000</xdr:rowOff>
    </xdr:to>
    <xdr:sp macro="" textlink="">
      <xdr:nvSpPr>
        <xdr:cNvPr id="40" name="Retângulo 39">
          <a:hlinkClick xmlns:r="http://schemas.openxmlformats.org/officeDocument/2006/relationships" r:id="rId17"/>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11</xdr:col>
      <xdr:colOff>652445</xdr:colOff>
      <xdr:row>0</xdr:row>
      <xdr:rowOff>0</xdr:rowOff>
    </xdr:from>
    <xdr:to>
      <xdr:col>13</xdr:col>
      <xdr:colOff>278329</xdr:colOff>
      <xdr:row>1</xdr:row>
      <xdr:rowOff>15000</xdr:rowOff>
    </xdr:to>
    <xdr:sp macro="" textlink="">
      <xdr:nvSpPr>
        <xdr:cNvPr id="41" name="Retângulo 40">
          <a:hlinkClick xmlns:r="http://schemas.openxmlformats.org/officeDocument/2006/relationships" r:id="rId11"/>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INSTUÇÕES</a:t>
          </a:r>
        </a:p>
      </xdr:txBody>
    </xdr:sp>
    <xdr:clientData/>
  </xdr:twoCellAnchor>
  <xdr:twoCellAnchor editAs="absolute">
    <xdr:from>
      <xdr:col>0</xdr:col>
      <xdr:colOff>0</xdr:colOff>
      <xdr:row>0</xdr:row>
      <xdr:rowOff>0</xdr:rowOff>
    </xdr:from>
    <xdr:to>
      <xdr:col>2</xdr:col>
      <xdr:colOff>57308</xdr:colOff>
      <xdr:row>0</xdr:row>
      <xdr:rowOff>378000</xdr:rowOff>
    </xdr:to>
    <xdr:pic>
      <xdr:nvPicPr>
        <xdr:cNvPr id="42" name="Imagem 4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7</xdr:col>
      <xdr:colOff>200018</xdr:colOff>
      <xdr:row>0</xdr:row>
      <xdr:rowOff>0</xdr:rowOff>
    </xdr:from>
    <xdr:to>
      <xdr:col>8</xdr:col>
      <xdr:colOff>521226</xdr:colOff>
      <xdr:row>1</xdr:row>
      <xdr:rowOff>15000</xdr:rowOff>
    </xdr:to>
    <xdr:sp macro="" textlink="">
      <xdr:nvSpPr>
        <xdr:cNvPr id="43" name="Retângulo 42">
          <a:hlinkClick xmlns:r="http://schemas.openxmlformats.org/officeDocument/2006/relationships" r:id="rId19"/>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10</xdr:col>
      <xdr:colOff>247643</xdr:colOff>
      <xdr:row>0</xdr:row>
      <xdr:rowOff>0</xdr:rowOff>
    </xdr:from>
    <xdr:to>
      <xdr:col>11</xdr:col>
      <xdr:colOff>568851</xdr:colOff>
      <xdr:row>1</xdr:row>
      <xdr:rowOff>15000</xdr:rowOff>
    </xdr:to>
    <xdr:sp macro="" textlink="">
      <xdr:nvSpPr>
        <xdr:cNvPr id="44" name="Retângulo 43">
          <a:hlinkClick xmlns:r="http://schemas.openxmlformats.org/officeDocument/2006/relationships" r:id="rId20"/>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222259</xdr:colOff>
      <xdr:row>3</xdr:row>
      <xdr:rowOff>10589</xdr:rowOff>
    </xdr:from>
    <xdr:ext cx="7488000" cy="421141"/>
    <xdr:sp macro="" textlink="">
      <xdr:nvSpPr>
        <xdr:cNvPr id="28" name="CaixaDeTexto 27"/>
        <xdr:cNvSpPr txBox="1"/>
      </xdr:nvSpPr>
      <xdr:spPr>
        <a:xfrm>
          <a:off x="4203709" y="953564"/>
          <a:ext cx="7488000"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000">
              <a:solidFill>
                <a:srgbClr val="333333"/>
              </a:solidFill>
            </a:rPr>
            <a:t>O "Plan"é a etapa de planejamento do ciclo. Nesse momento você irá estabelecer o problema principal que você deseja resolver, e identificar as causas que geram este problema. Além disso, você irá atribir notas às causas identificadas para que estas causas sejam priorizadas.</a:t>
          </a:r>
        </a:p>
      </xdr:txBody>
    </xdr:sp>
    <xdr:clientData/>
  </xdr:oneCellAnchor>
  <xdr:twoCellAnchor editAs="absolute">
    <xdr:from>
      <xdr:col>2</xdr:col>
      <xdr:colOff>2090739</xdr:colOff>
      <xdr:row>1</xdr:row>
      <xdr:rowOff>33870</xdr:rowOff>
    </xdr:from>
    <xdr:to>
      <xdr:col>3</xdr:col>
      <xdr:colOff>414339</xdr:colOff>
      <xdr:row>2</xdr:row>
      <xdr:rowOff>55966</xdr:rowOff>
    </xdr:to>
    <xdr:sp macro="" textlink="">
      <xdr:nvSpPr>
        <xdr:cNvPr id="48" name="Retângulo 47">
          <a:hlinkClick xmlns:r="http://schemas.openxmlformats.org/officeDocument/2006/relationships" r:id="rId1"/>
        </xdr:cNvPr>
        <xdr:cNvSpPr/>
      </xdr:nvSpPr>
      <xdr:spPr>
        <a:xfrm>
          <a:off x="2319339" y="414870"/>
          <a:ext cx="1371600" cy="33642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b="1">
              <a:solidFill>
                <a:sysClr val="windowText" lastClr="000000"/>
              </a:solidFill>
              <a:latin typeface="+mn-lt"/>
              <a:ea typeface="+mn-ea"/>
              <a:cs typeface="+mn-cs"/>
            </a:rPr>
            <a:t>Plan</a:t>
          </a:r>
          <a:r>
            <a:rPr lang="pt-BR" sz="1100" b="1" baseline="0">
              <a:solidFill>
                <a:sysClr val="windowText" lastClr="000000"/>
              </a:solidFill>
              <a:latin typeface="+mn-lt"/>
              <a:ea typeface="+mn-ea"/>
              <a:cs typeface="+mn-cs"/>
            </a:rPr>
            <a:t> (Planejamento)</a:t>
          </a:r>
          <a:endParaRPr lang="pt-BR" sz="1100" b="1">
            <a:solidFill>
              <a:sysClr val="windowText" lastClr="000000"/>
            </a:solidFill>
            <a:latin typeface="+mn-lt"/>
            <a:ea typeface="+mn-ea"/>
            <a:cs typeface="+mn-cs"/>
          </a:endParaRPr>
        </a:p>
      </xdr:txBody>
    </xdr:sp>
    <xdr:clientData/>
  </xdr:twoCellAnchor>
  <xdr:twoCellAnchor editAs="absolute">
    <xdr:from>
      <xdr:col>3</xdr:col>
      <xdr:colOff>449263</xdr:colOff>
      <xdr:row>1</xdr:row>
      <xdr:rowOff>33869</xdr:rowOff>
    </xdr:from>
    <xdr:to>
      <xdr:col>5</xdr:col>
      <xdr:colOff>925828</xdr:colOff>
      <xdr:row>2</xdr:row>
      <xdr:rowOff>55563</xdr:rowOff>
    </xdr:to>
    <xdr:sp macro="" textlink="">
      <xdr:nvSpPr>
        <xdr:cNvPr id="49" name="Retângulo 48">
          <a:hlinkClick xmlns:r="http://schemas.openxmlformats.org/officeDocument/2006/relationships" r:id="rId2"/>
        </xdr:cNvPr>
        <xdr:cNvSpPr/>
      </xdr:nvSpPr>
      <xdr:spPr>
        <a:xfrm>
          <a:off x="3725863" y="414869"/>
          <a:ext cx="1410015" cy="336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a:solidFill>
                <a:schemeClr val="lt1"/>
              </a:solidFill>
              <a:latin typeface="+mn-lt"/>
              <a:ea typeface="+mn-ea"/>
              <a:cs typeface="+mn-cs"/>
            </a:rPr>
            <a:t>Do (Execução)</a:t>
          </a:r>
        </a:p>
      </xdr:txBody>
    </xdr:sp>
    <xdr:clientData/>
  </xdr:twoCellAnchor>
  <xdr:twoCellAnchor editAs="absolute">
    <xdr:from>
      <xdr:col>5</xdr:col>
      <xdr:colOff>2332038</xdr:colOff>
      <xdr:row>1</xdr:row>
      <xdr:rowOff>29636</xdr:rowOff>
    </xdr:from>
    <xdr:to>
      <xdr:col>7</xdr:col>
      <xdr:colOff>204576</xdr:colOff>
      <xdr:row>2</xdr:row>
      <xdr:rowOff>51330</xdr:rowOff>
    </xdr:to>
    <xdr:sp macro="" textlink="">
      <xdr:nvSpPr>
        <xdr:cNvPr id="51" name="Retângulo 50">
          <a:hlinkClick xmlns:r="http://schemas.openxmlformats.org/officeDocument/2006/relationships" r:id="rId3"/>
        </xdr:cNvPr>
        <xdr:cNvSpPr/>
      </xdr:nvSpPr>
      <xdr:spPr>
        <a:xfrm>
          <a:off x="6542088" y="410636"/>
          <a:ext cx="1625388" cy="336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a:solidFill>
                <a:schemeClr val="lt1"/>
              </a:solidFill>
              <a:latin typeface="+mn-lt"/>
              <a:ea typeface="+mn-ea"/>
              <a:cs typeface="+mn-cs"/>
            </a:rPr>
            <a:t>Act (Ação)</a:t>
          </a:r>
        </a:p>
      </xdr:txBody>
    </xdr:sp>
    <xdr:clientData/>
  </xdr:twoCellAnchor>
  <xdr:twoCellAnchor editAs="absolute">
    <xdr:from>
      <xdr:col>5</xdr:col>
      <xdr:colOff>957794</xdr:colOff>
      <xdr:row>1</xdr:row>
      <xdr:rowOff>29636</xdr:rowOff>
    </xdr:from>
    <xdr:to>
      <xdr:col>5</xdr:col>
      <xdr:colOff>2308087</xdr:colOff>
      <xdr:row>2</xdr:row>
      <xdr:rowOff>51330</xdr:rowOff>
    </xdr:to>
    <xdr:sp macro="" textlink="">
      <xdr:nvSpPr>
        <xdr:cNvPr id="53" name="Retângulo 52">
          <a:hlinkClick xmlns:r="http://schemas.openxmlformats.org/officeDocument/2006/relationships" r:id="rId4"/>
        </xdr:cNvPr>
        <xdr:cNvSpPr/>
      </xdr:nvSpPr>
      <xdr:spPr>
        <a:xfrm>
          <a:off x="5167844" y="410636"/>
          <a:ext cx="1350293" cy="336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a:solidFill>
                <a:schemeClr val="lt1"/>
              </a:solidFill>
              <a:latin typeface="+mn-lt"/>
              <a:ea typeface="+mn-ea"/>
              <a:cs typeface="+mn-cs"/>
            </a:rPr>
            <a:t>Check (Verificação)</a:t>
          </a:r>
        </a:p>
      </xdr:txBody>
    </xdr:sp>
    <xdr:clientData/>
  </xdr:twoCellAnchor>
  <xdr:twoCellAnchor editAs="absolute">
    <xdr:from>
      <xdr:col>2</xdr:col>
      <xdr:colOff>2122749</xdr:colOff>
      <xdr:row>0</xdr:row>
      <xdr:rowOff>0</xdr:rowOff>
    </xdr:from>
    <xdr:to>
      <xdr:col>3</xdr:col>
      <xdr:colOff>138908</xdr:colOff>
      <xdr:row>1</xdr:row>
      <xdr:rowOff>15000</xdr:rowOff>
    </xdr:to>
    <xdr:sp macro="" textlink="">
      <xdr:nvSpPr>
        <xdr:cNvPr id="10" name="Retângulo 9">
          <a:hlinkClick xmlns:r="http://schemas.openxmlformats.org/officeDocument/2006/relationships" r:id="rId1"/>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3</xdr:col>
      <xdr:colOff>210074</xdr:colOff>
      <xdr:row>0</xdr:row>
      <xdr:rowOff>0</xdr:rowOff>
    </xdr:from>
    <xdr:to>
      <xdr:col>5</xdr:col>
      <xdr:colOff>440260</xdr:colOff>
      <xdr:row>1</xdr:row>
      <xdr:rowOff>15000</xdr:rowOff>
    </xdr:to>
    <xdr:sp macro="" textlink="">
      <xdr:nvSpPr>
        <xdr:cNvPr id="11" name="Retângulo 10">
          <a:hlinkClick xmlns:r="http://schemas.openxmlformats.org/officeDocument/2006/relationships" r:id="rId5"/>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5</xdr:col>
      <xdr:colOff>1619237</xdr:colOff>
      <xdr:row>0</xdr:row>
      <xdr:rowOff>0</xdr:rowOff>
    </xdr:from>
    <xdr:to>
      <xdr:col>5</xdr:col>
      <xdr:colOff>2664345</xdr:colOff>
      <xdr:row>1</xdr:row>
      <xdr:rowOff>15000</xdr:rowOff>
    </xdr:to>
    <xdr:sp macro="" textlink="">
      <xdr:nvSpPr>
        <xdr:cNvPr id="12" name="Retângulo 11">
          <a:hlinkClick xmlns:r="http://schemas.openxmlformats.org/officeDocument/2006/relationships" r:id="rId6"/>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7</xdr:col>
      <xdr:colOff>99995</xdr:colOff>
      <xdr:row>0</xdr:row>
      <xdr:rowOff>0</xdr:rowOff>
    </xdr:from>
    <xdr:to>
      <xdr:col>8</xdr:col>
      <xdr:colOff>916504</xdr:colOff>
      <xdr:row>1</xdr:row>
      <xdr:rowOff>15000</xdr:rowOff>
    </xdr:to>
    <xdr:sp macro="" textlink="">
      <xdr:nvSpPr>
        <xdr:cNvPr id="13" name="Retângulo 12">
          <a:hlinkClick xmlns:r="http://schemas.openxmlformats.org/officeDocument/2006/relationships" r:id="rId7"/>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2</xdr:col>
      <xdr:colOff>733583</xdr:colOff>
      <xdr:row>0</xdr:row>
      <xdr:rowOff>378000</xdr:rowOff>
    </xdr:to>
    <xdr:pic>
      <xdr:nvPicPr>
        <xdr:cNvPr id="14" name="Imagem 1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5</xdr:col>
      <xdr:colOff>504818</xdr:colOff>
      <xdr:row>0</xdr:row>
      <xdr:rowOff>0</xdr:rowOff>
    </xdr:from>
    <xdr:to>
      <xdr:col>5</xdr:col>
      <xdr:colOff>1549926</xdr:colOff>
      <xdr:row>1</xdr:row>
      <xdr:rowOff>15000</xdr:rowOff>
    </xdr:to>
    <xdr:sp macro="" textlink="">
      <xdr:nvSpPr>
        <xdr:cNvPr id="15" name="Retângulo 14">
          <a:hlinkClick xmlns:r="http://schemas.openxmlformats.org/officeDocument/2006/relationships" r:id="rId9"/>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5</xdr:col>
      <xdr:colOff>2724143</xdr:colOff>
      <xdr:row>0</xdr:row>
      <xdr:rowOff>0</xdr:rowOff>
    </xdr:from>
    <xdr:to>
      <xdr:col>7</xdr:col>
      <xdr:colOff>16401</xdr:colOff>
      <xdr:row>1</xdr:row>
      <xdr:rowOff>15000</xdr:rowOff>
    </xdr:to>
    <xdr:sp macro="" textlink="">
      <xdr:nvSpPr>
        <xdr:cNvPr id="16" name="Retângulo 15">
          <a:hlinkClick xmlns:r="http://schemas.openxmlformats.org/officeDocument/2006/relationships" r:id="rId10"/>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xdr:col>
      <xdr:colOff>2667000</xdr:colOff>
      <xdr:row>3</xdr:row>
      <xdr:rowOff>39160</xdr:rowOff>
    </xdr:from>
    <xdr:ext cx="8316000" cy="421141"/>
    <xdr:sp macro="" textlink="">
      <xdr:nvSpPr>
        <xdr:cNvPr id="18" name="CaixaDeTexto 17"/>
        <xdr:cNvSpPr txBox="1"/>
      </xdr:nvSpPr>
      <xdr:spPr>
        <a:xfrm>
          <a:off x="3533775" y="982135"/>
          <a:ext cx="8316000"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000">
              <a:solidFill>
                <a:srgbClr val="333333"/>
              </a:solidFill>
            </a:rPr>
            <a:t>O "Do" é a etapa de execução. Neste momento você irá estabelecer planos de ação que resolvam as causas que você identificou na etapa anterior. Você pode planejar vários planos de ação para uma mesma causa. Não se esqueça de definir um </a:t>
          </a:r>
          <a:r>
            <a:rPr lang="pt-BR" sz="1000" u="sng">
              <a:solidFill>
                <a:srgbClr val="333333"/>
              </a:solidFill>
            </a:rPr>
            <a:t>responsável</a:t>
          </a:r>
          <a:r>
            <a:rPr lang="pt-BR" sz="1000">
              <a:solidFill>
                <a:srgbClr val="333333"/>
              </a:solidFill>
            </a:rPr>
            <a:t> e um prazo para a execução de seus planos de ação.</a:t>
          </a:r>
        </a:p>
      </xdr:txBody>
    </xdr:sp>
    <xdr:clientData/>
  </xdr:oneCellAnchor>
  <xdr:twoCellAnchor editAs="absolute">
    <xdr:from>
      <xdr:col>3</xdr:col>
      <xdr:colOff>1452564</xdr:colOff>
      <xdr:row>1</xdr:row>
      <xdr:rowOff>33870</xdr:rowOff>
    </xdr:from>
    <xdr:to>
      <xdr:col>3</xdr:col>
      <xdr:colOff>2824164</xdr:colOff>
      <xdr:row>2</xdr:row>
      <xdr:rowOff>55966</xdr:rowOff>
    </xdr:to>
    <xdr:sp macro="" textlink="">
      <xdr:nvSpPr>
        <xdr:cNvPr id="14" name="Retângulo 13">
          <a:hlinkClick xmlns:r="http://schemas.openxmlformats.org/officeDocument/2006/relationships" r:id="rId1"/>
        </xdr:cNvPr>
        <xdr:cNvSpPr/>
      </xdr:nvSpPr>
      <xdr:spPr>
        <a:xfrm>
          <a:off x="2319339" y="414870"/>
          <a:ext cx="1371600" cy="3364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b="0">
              <a:solidFill>
                <a:schemeClr val="bg1"/>
              </a:solidFill>
              <a:latin typeface="+mn-lt"/>
              <a:ea typeface="+mn-ea"/>
              <a:cs typeface="+mn-cs"/>
            </a:rPr>
            <a:t>Plan</a:t>
          </a:r>
          <a:r>
            <a:rPr lang="pt-BR" sz="1100" b="0" baseline="0">
              <a:solidFill>
                <a:schemeClr val="bg1"/>
              </a:solidFill>
              <a:latin typeface="+mn-lt"/>
              <a:ea typeface="+mn-ea"/>
              <a:cs typeface="+mn-cs"/>
            </a:rPr>
            <a:t> (Planejamento)</a:t>
          </a:r>
          <a:endParaRPr lang="pt-BR" sz="1100" b="0">
            <a:solidFill>
              <a:schemeClr val="bg1"/>
            </a:solidFill>
            <a:latin typeface="+mn-lt"/>
            <a:ea typeface="+mn-ea"/>
            <a:cs typeface="+mn-cs"/>
          </a:endParaRPr>
        </a:p>
      </xdr:txBody>
    </xdr:sp>
    <xdr:clientData/>
  </xdr:twoCellAnchor>
  <xdr:twoCellAnchor editAs="absolute">
    <xdr:from>
      <xdr:col>3</xdr:col>
      <xdr:colOff>2859088</xdr:colOff>
      <xdr:row>1</xdr:row>
      <xdr:rowOff>33869</xdr:rowOff>
    </xdr:from>
    <xdr:to>
      <xdr:col>4</xdr:col>
      <xdr:colOff>1316353</xdr:colOff>
      <xdr:row>2</xdr:row>
      <xdr:rowOff>55563</xdr:rowOff>
    </xdr:to>
    <xdr:sp macro="" textlink="">
      <xdr:nvSpPr>
        <xdr:cNvPr id="15" name="Retângulo 14">
          <a:hlinkClick xmlns:r="http://schemas.openxmlformats.org/officeDocument/2006/relationships" r:id="rId2"/>
        </xdr:cNvPr>
        <xdr:cNvSpPr/>
      </xdr:nvSpPr>
      <xdr:spPr>
        <a:xfrm>
          <a:off x="3725863" y="414869"/>
          <a:ext cx="1410015" cy="33601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b="1">
              <a:solidFill>
                <a:sysClr val="windowText" lastClr="000000"/>
              </a:solidFill>
              <a:latin typeface="+mn-lt"/>
              <a:ea typeface="+mn-ea"/>
              <a:cs typeface="+mn-cs"/>
            </a:rPr>
            <a:t>Do (Execução)</a:t>
          </a:r>
        </a:p>
      </xdr:txBody>
    </xdr:sp>
    <xdr:clientData/>
  </xdr:twoCellAnchor>
  <xdr:twoCellAnchor editAs="absolute">
    <xdr:from>
      <xdr:col>4</xdr:col>
      <xdr:colOff>2722563</xdr:colOff>
      <xdr:row>1</xdr:row>
      <xdr:rowOff>29636</xdr:rowOff>
    </xdr:from>
    <xdr:to>
      <xdr:col>5</xdr:col>
      <xdr:colOff>1395201</xdr:colOff>
      <xdr:row>2</xdr:row>
      <xdr:rowOff>51330</xdr:rowOff>
    </xdr:to>
    <xdr:sp macro="" textlink="">
      <xdr:nvSpPr>
        <xdr:cNvPr id="16" name="Retângulo 15">
          <a:hlinkClick xmlns:r="http://schemas.openxmlformats.org/officeDocument/2006/relationships" r:id="rId3"/>
        </xdr:cNvPr>
        <xdr:cNvSpPr/>
      </xdr:nvSpPr>
      <xdr:spPr>
        <a:xfrm>
          <a:off x="6542088" y="410636"/>
          <a:ext cx="1625388" cy="336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a:solidFill>
                <a:schemeClr val="lt1"/>
              </a:solidFill>
              <a:latin typeface="+mn-lt"/>
              <a:ea typeface="+mn-ea"/>
              <a:cs typeface="+mn-cs"/>
            </a:rPr>
            <a:t>Act (Ação)</a:t>
          </a:r>
        </a:p>
      </xdr:txBody>
    </xdr:sp>
    <xdr:clientData/>
  </xdr:twoCellAnchor>
  <xdr:twoCellAnchor editAs="absolute">
    <xdr:from>
      <xdr:col>4</xdr:col>
      <xdr:colOff>1348319</xdr:colOff>
      <xdr:row>1</xdr:row>
      <xdr:rowOff>29636</xdr:rowOff>
    </xdr:from>
    <xdr:to>
      <xdr:col>4</xdr:col>
      <xdr:colOff>2698612</xdr:colOff>
      <xdr:row>2</xdr:row>
      <xdr:rowOff>51330</xdr:rowOff>
    </xdr:to>
    <xdr:sp macro="" textlink="">
      <xdr:nvSpPr>
        <xdr:cNvPr id="17" name="Retângulo 16">
          <a:hlinkClick xmlns:r="http://schemas.openxmlformats.org/officeDocument/2006/relationships" r:id="rId4"/>
        </xdr:cNvPr>
        <xdr:cNvSpPr/>
      </xdr:nvSpPr>
      <xdr:spPr>
        <a:xfrm>
          <a:off x="5167844" y="410636"/>
          <a:ext cx="1350293" cy="336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a:solidFill>
                <a:schemeClr val="lt1"/>
              </a:solidFill>
              <a:latin typeface="+mn-lt"/>
              <a:ea typeface="+mn-ea"/>
              <a:cs typeface="+mn-cs"/>
            </a:rPr>
            <a:t>Check (Verificação)</a:t>
          </a:r>
        </a:p>
      </xdr:txBody>
    </xdr:sp>
    <xdr:clientData/>
  </xdr:twoCellAnchor>
  <xdr:twoCellAnchor editAs="absolute">
    <xdr:from>
      <xdr:col>3</xdr:col>
      <xdr:colOff>1484574</xdr:colOff>
      <xdr:row>0</xdr:row>
      <xdr:rowOff>0</xdr:rowOff>
    </xdr:from>
    <xdr:to>
      <xdr:col>3</xdr:col>
      <xdr:colOff>2548733</xdr:colOff>
      <xdr:row>1</xdr:row>
      <xdr:rowOff>15000</xdr:rowOff>
    </xdr:to>
    <xdr:sp macro="" textlink="">
      <xdr:nvSpPr>
        <xdr:cNvPr id="19" name="Retângulo 18">
          <a:hlinkClick xmlns:r="http://schemas.openxmlformats.org/officeDocument/2006/relationships" r:id="rId1"/>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3</xdr:col>
      <xdr:colOff>2619899</xdr:colOff>
      <xdr:row>0</xdr:row>
      <xdr:rowOff>0</xdr:rowOff>
    </xdr:from>
    <xdr:to>
      <xdr:col>4</xdr:col>
      <xdr:colOff>830785</xdr:colOff>
      <xdr:row>1</xdr:row>
      <xdr:rowOff>15000</xdr:rowOff>
    </xdr:to>
    <xdr:sp macro="" textlink="">
      <xdr:nvSpPr>
        <xdr:cNvPr id="20" name="Retângulo 19">
          <a:hlinkClick xmlns:r="http://schemas.openxmlformats.org/officeDocument/2006/relationships" r:id="rId5"/>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4</xdr:col>
      <xdr:colOff>2009762</xdr:colOff>
      <xdr:row>0</xdr:row>
      <xdr:rowOff>0</xdr:rowOff>
    </xdr:from>
    <xdr:to>
      <xdr:col>5</xdr:col>
      <xdr:colOff>102120</xdr:colOff>
      <xdr:row>1</xdr:row>
      <xdr:rowOff>15000</xdr:rowOff>
    </xdr:to>
    <xdr:sp macro="" textlink="">
      <xdr:nvSpPr>
        <xdr:cNvPr id="21" name="Retângulo 20">
          <a:hlinkClick xmlns:r="http://schemas.openxmlformats.org/officeDocument/2006/relationships" r:id="rId6"/>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5</xdr:col>
      <xdr:colOff>1290620</xdr:colOff>
      <xdr:row>0</xdr:row>
      <xdr:rowOff>0</xdr:rowOff>
    </xdr:from>
    <xdr:to>
      <xdr:col>5</xdr:col>
      <xdr:colOff>2364304</xdr:colOff>
      <xdr:row>1</xdr:row>
      <xdr:rowOff>15000</xdr:rowOff>
    </xdr:to>
    <xdr:sp macro="" textlink="">
      <xdr:nvSpPr>
        <xdr:cNvPr id="22" name="Retângulo 21">
          <a:hlinkClick xmlns:r="http://schemas.openxmlformats.org/officeDocument/2006/relationships" r:id="rId7"/>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3</xdr:col>
      <xdr:colOff>95408</xdr:colOff>
      <xdr:row>0</xdr:row>
      <xdr:rowOff>378000</xdr:rowOff>
    </xdr:to>
    <xdr:pic>
      <xdr:nvPicPr>
        <xdr:cNvPr id="23" name="Imagem 2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4</xdr:col>
      <xdr:colOff>895343</xdr:colOff>
      <xdr:row>0</xdr:row>
      <xdr:rowOff>0</xdr:rowOff>
    </xdr:from>
    <xdr:to>
      <xdr:col>4</xdr:col>
      <xdr:colOff>1940451</xdr:colOff>
      <xdr:row>1</xdr:row>
      <xdr:rowOff>15000</xdr:rowOff>
    </xdr:to>
    <xdr:sp macro="" textlink="">
      <xdr:nvSpPr>
        <xdr:cNvPr id="24" name="Retângulo 23">
          <a:hlinkClick xmlns:r="http://schemas.openxmlformats.org/officeDocument/2006/relationships" r:id="rId9"/>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5</xdr:col>
      <xdr:colOff>161918</xdr:colOff>
      <xdr:row>0</xdr:row>
      <xdr:rowOff>0</xdr:rowOff>
    </xdr:from>
    <xdr:to>
      <xdr:col>5</xdr:col>
      <xdr:colOff>1207026</xdr:colOff>
      <xdr:row>1</xdr:row>
      <xdr:rowOff>15000</xdr:rowOff>
    </xdr:to>
    <xdr:sp macro="" textlink="">
      <xdr:nvSpPr>
        <xdr:cNvPr id="25" name="Retângulo 24">
          <a:hlinkClick xmlns:r="http://schemas.openxmlformats.org/officeDocument/2006/relationships" r:id="rId10"/>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xdr:col>
      <xdr:colOff>588438</xdr:colOff>
      <xdr:row>3</xdr:row>
      <xdr:rowOff>67735</xdr:rowOff>
    </xdr:from>
    <xdr:ext cx="8820000" cy="421141"/>
    <xdr:sp macro="" textlink="">
      <xdr:nvSpPr>
        <xdr:cNvPr id="18" name="CaixaDeTexto 17"/>
        <xdr:cNvSpPr txBox="1"/>
      </xdr:nvSpPr>
      <xdr:spPr>
        <a:xfrm>
          <a:off x="3017313" y="1010710"/>
          <a:ext cx="8820000"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000">
              <a:solidFill>
                <a:srgbClr val="333333"/>
              </a:solidFill>
            </a:rPr>
            <a:t>O "Check" é a etapa de verificação, onde você irá checar se suas ações realmente foram executadas da maneira que você planejou. Você irá registrar a data de término de cada ação para verificar se ela foi executada no prazo estipulado, além de analisar se a ação ocorreu como planejado e se ela contribuiu para resolver sua causa.</a:t>
          </a:r>
        </a:p>
      </xdr:txBody>
    </xdr:sp>
    <xdr:clientData/>
  </xdr:oneCellAnchor>
  <xdr:twoCellAnchor editAs="absolute">
    <xdr:from>
      <xdr:col>2</xdr:col>
      <xdr:colOff>2090739</xdr:colOff>
      <xdr:row>1</xdr:row>
      <xdr:rowOff>33870</xdr:rowOff>
    </xdr:from>
    <xdr:to>
      <xdr:col>3</xdr:col>
      <xdr:colOff>1262064</xdr:colOff>
      <xdr:row>2</xdr:row>
      <xdr:rowOff>55966</xdr:rowOff>
    </xdr:to>
    <xdr:sp macro="" textlink="">
      <xdr:nvSpPr>
        <xdr:cNvPr id="14" name="Retângulo 13">
          <a:hlinkClick xmlns:r="http://schemas.openxmlformats.org/officeDocument/2006/relationships" r:id="rId1"/>
        </xdr:cNvPr>
        <xdr:cNvSpPr/>
      </xdr:nvSpPr>
      <xdr:spPr>
        <a:xfrm>
          <a:off x="2319339" y="414870"/>
          <a:ext cx="1371600" cy="3364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b="0">
              <a:solidFill>
                <a:schemeClr val="bg1"/>
              </a:solidFill>
              <a:latin typeface="+mn-lt"/>
              <a:ea typeface="+mn-ea"/>
              <a:cs typeface="+mn-cs"/>
            </a:rPr>
            <a:t>Plan</a:t>
          </a:r>
          <a:r>
            <a:rPr lang="pt-BR" sz="1100" b="0" baseline="0">
              <a:solidFill>
                <a:schemeClr val="bg1"/>
              </a:solidFill>
              <a:latin typeface="+mn-lt"/>
              <a:ea typeface="+mn-ea"/>
              <a:cs typeface="+mn-cs"/>
            </a:rPr>
            <a:t> (Planejamento)</a:t>
          </a:r>
          <a:endParaRPr lang="pt-BR" sz="1100" b="0">
            <a:solidFill>
              <a:schemeClr val="bg1"/>
            </a:solidFill>
            <a:latin typeface="+mn-lt"/>
            <a:ea typeface="+mn-ea"/>
            <a:cs typeface="+mn-cs"/>
          </a:endParaRPr>
        </a:p>
      </xdr:txBody>
    </xdr:sp>
    <xdr:clientData/>
  </xdr:twoCellAnchor>
  <xdr:twoCellAnchor editAs="absolute">
    <xdr:from>
      <xdr:col>3</xdr:col>
      <xdr:colOff>1296988</xdr:colOff>
      <xdr:row>1</xdr:row>
      <xdr:rowOff>33869</xdr:rowOff>
    </xdr:from>
    <xdr:to>
      <xdr:col>4</xdr:col>
      <xdr:colOff>535303</xdr:colOff>
      <xdr:row>2</xdr:row>
      <xdr:rowOff>55563</xdr:rowOff>
    </xdr:to>
    <xdr:sp macro="" textlink="">
      <xdr:nvSpPr>
        <xdr:cNvPr id="15" name="Retângulo 14">
          <a:hlinkClick xmlns:r="http://schemas.openxmlformats.org/officeDocument/2006/relationships" r:id="rId2"/>
        </xdr:cNvPr>
        <xdr:cNvSpPr/>
      </xdr:nvSpPr>
      <xdr:spPr>
        <a:xfrm>
          <a:off x="3725863" y="414869"/>
          <a:ext cx="1410015" cy="336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a:solidFill>
                <a:schemeClr val="lt1"/>
              </a:solidFill>
              <a:latin typeface="+mn-lt"/>
              <a:ea typeface="+mn-ea"/>
              <a:cs typeface="+mn-cs"/>
            </a:rPr>
            <a:t>Do (Execução)</a:t>
          </a:r>
        </a:p>
      </xdr:txBody>
    </xdr:sp>
    <xdr:clientData/>
  </xdr:twoCellAnchor>
  <xdr:twoCellAnchor editAs="absolute">
    <xdr:from>
      <xdr:col>6</xdr:col>
      <xdr:colOff>198438</xdr:colOff>
      <xdr:row>1</xdr:row>
      <xdr:rowOff>29636</xdr:rowOff>
    </xdr:from>
    <xdr:to>
      <xdr:col>7</xdr:col>
      <xdr:colOff>461751</xdr:colOff>
      <xdr:row>2</xdr:row>
      <xdr:rowOff>51330</xdr:rowOff>
    </xdr:to>
    <xdr:sp macro="" textlink="">
      <xdr:nvSpPr>
        <xdr:cNvPr id="16" name="Retângulo 15">
          <a:hlinkClick xmlns:r="http://schemas.openxmlformats.org/officeDocument/2006/relationships" r:id="rId3"/>
        </xdr:cNvPr>
        <xdr:cNvSpPr/>
      </xdr:nvSpPr>
      <xdr:spPr>
        <a:xfrm>
          <a:off x="6542088" y="410636"/>
          <a:ext cx="1625388" cy="336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a:solidFill>
                <a:schemeClr val="lt1"/>
              </a:solidFill>
              <a:latin typeface="+mn-lt"/>
              <a:ea typeface="+mn-ea"/>
              <a:cs typeface="+mn-cs"/>
            </a:rPr>
            <a:t>Act (Ação)</a:t>
          </a:r>
        </a:p>
      </xdr:txBody>
    </xdr:sp>
    <xdr:clientData/>
  </xdr:twoCellAnchor>
  <xdr:twoCellAnchor editAs="absolute">
    <xdr:from>
      <xdr:col>4</xdr:col>
      <xdr:colOff>567269</xdr:colOff>
      <xdr:row>1</xdr:row>
      <xdr:rowOff>29636</xdr:rowOff>
    </xdr:from>
    <xdr:to>
      <xdr:col>6</xdr:col>
      <xdr:colOff>174487</xdr:colOff>
      <xdr:row>2</xdr:row>
      <xdr:rowOff>51330</xdr:rowOff>
    </xdr:to>
    <xdr:sp macro="" textlink="">
      <xdr:nvSpPr>
        <xdr:cNvPr id="17" name="Retângulo 16">
          <a:hlinkClick xmlns:r="http://schemas.openxmlformats.org/officeDocument/2006/relationships" r:id="rId4"/>
        </xdr:cNvPr>
        <xdr:cNvSpPr/>
      </xdr:nvSpPr>
      <xdr:spPr>
        <a:xfrm>
          <a:off x="5167844" y="410636"/>
          <a:ext cx="1350293" cy="33601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b="1">
              <a:solidFill>
                <a:sysClr val="windowText" lastClr="000000"/>
              </a:solidFill>
              <a:latin typeface="+mn-lt"/>
              <a:ea typeface="+mn-ea"/>
              <a:cs typeface="+mn-cs"/>
            </a:rPr>
            <a:t>Check (Verificação)</a:t>
          </a:r>
        </a:p>
      </xdr:txBody>
    </xdr:sp>
    <xdr:clientData/>
  </xdr:twoCellAnchor>
  <xdr:twoCellAnchor editAs="absolute">
    <xdr:from>
      <xdr:col>2</xdr:col>
      <xdr:colOff>2122749</xdr:colOff>
      <xdr:row>0</xdr:row>
      <xdr:rowOff>0</xdr:rowOff>
    </xdr:from>
    <xdr:to>
      <xdr:col>3</xdr:col>
      <xdr:colOff>986633</xdr:colOff>
      <xdr:row>1</xdr:row>
      <xdr:rowOff>15000</xdr:rowOff>
    </xdr:to>
    <xdr:sp macro="" textlink="">
      <xdr:nvSpPr>
        <xdr:cNvPr id="19" name="Retângulo 18">
          <a:hlinkClick xmlns:r="http://schemas.openxmlformats.org/officeDocument/2006/relationships" r:id="rId1"/>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3</xdr:col>
      <xdr:colOff>1057799</xdr:colOff>
      <xdr:row>0</xdr:row>
      <xdr:rowOff>0</xdr:rowOff>
    </xdr:from>
    <xdr:to>
      <xdr:col>4</xdr:col>
      <xdr:colOff>49735</xdr:colOff>
      <xdr:row>1</xdr:row>
      <xdr:rowOff>15000</xdr:rowOff>
    </xdr:to>
    <xdr:sp macro="" textlink="">
      <xdr:nvSpPr>
        <xdr:cNvPr id="20" name="Retângulo 19">
          <a:hlinkClick xmlns:r="http://schemas.openxmlformats.org/officeDocument/2006/relationships" r:id="rId5"/>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5</xdr:col>
      <xdr:colOff>276212</xdr:colOff>
      <xdr:row>0</xdr:row>
      <xdr:rowOff>0</xdr:rowOff>
    </xdr:from>
    <xdr:to>
      <xdr:col>6</xdr:col>
      <xdr:colOff>530745</xdr:colOff>
      <xdr:row>1</xdr:row>
      <xdr:rowOff>15000</xdr:rowOff>
    </xdr:to>
    <xdr:sp macro="" textlink="">
      <xdr:nvSpPr>
        <xdr:cNvPr id="21" name="Retângulo 20">
          <a:hlinkClick xmlns:r="http://schemas.openxmlformats.org/officeDocument/2006/relationships" r:id="rId6"/>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7</xdr:col>
      <xdr:colOff>357170</xdr:colOff>
      <xdr:row>0</xdr:row>
      <xdr:rowOff>0</xdr:rowOff>
    </xdr:from>
    <xdr:to>
      <xdr:col>8</xdr:col>
      <xdr:colOff>345004</xdr:colOff>
      <xdr:row>1</xdr:row>
      <xdr:rowOff>15000</xdr:rowOff>
    </xdr:to>
    <xdr:sp macro="" textlink="">
      <xdr:nvSpPr>
        <xdr:cNvPr id="22" name="Retângulo 21">
          <a:hlinkClick xmlns:r="http://schemas.openxmlformats.org/officeDocument/2006/relationships" r:id="rId7"/>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2</xdr:col>
      <xdr:colOff>733583</xdr:colOff>
      <xdr:row>0</xdr:row>
      <xdr:rowOff>378000</xdr:rowOff>
    </xdr:to>
    <xdr:pic>
      <xdr:nvPicPr>
        <xdr:cNvPr id="23" name="Imagem 2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4</xdr:col>
      <xdr:colOff>114293</xdr:colOff>
      <xdr:row>0</xdr:row>
      <xdr:rowOff>0</xdr:rowOff>
    </xdr:from>
    <xdr:to>
      <xdr:col>5</xdr:col>
      <xdr:colOff>206901</xdr:colOff>
      <xdr:row>1</xdr:row>
      <xdr:rowOff>15000</xdr:rowOff>
    </xdr:to>
    <xdr:sp macro="" textlink="">
      <xdr:nvSpPr>
        <xdr:cNvPr id="24" name="Retângulo 23">
          <a:hlinkClick xmlns:r="http://schemas.openxmlformats.org/officeDocument/2006/relationships" r:id="rId9"/>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6</xdr:col>
      <xdr:colOff>590543</xdr:colOff>
      <xdr:row>0</xdr:row>
      <xdr:rowOff>0</xdr:rowOff>
    </xdr:from>
    <xdr:to>
      <xdr:col>7</xdr:col>
      <xdr:colOff>273576</xdr:colOff>
      <xdr:row>1</xdr:row>
      <xdr:rowOff>15000</xdr:rowOff>
    </xdr:to>
    <xdr:sp macro="" textlink="">
      <xdr:nvSpPr>
        <xdr:cNvPr id="25" name="Retângulo 24">
          <a:hlinkClick xmlns:r="http://schemas.openxmlformats.org/officeDocument/2006/relationships" r:id="rId10"/>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3224744</xdr:colOff>
      <xdr:row>2</xdr:row>
      <xdr:rowOff>153460</xdr:rowOff>
    </xdr:from>
    <xdr:ext cx="8136000" cy="421141"/>
    <xdr:sp macro="" textlink="">
      <xdr:nvSpPr>
        <xdr:cNvPr id="17" name="CaixaDeTexto 16"/>
        <xdr:cNvSpPr txBox="1"/>
      </xdr:nvSpPr>
      <xdr:spPr>
        <a:xfrm>
          <a:off x="4101044" y="848785"/>
          <a:ext cx="8136000"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000">
              <a:solidFill>
                <a:srgbClr val="333333"/>
              </a:solidFill>
            </a:rPr>
            <a:t>A "Act" é a última etapa do método, e é a etapa onde você vai analisar se alcançou seu principal objetivo, ou seja, se resolveu o problema que você queria solucionar. Lembre-se: o PDCA é um ciclo, portanto deve sempre ser executado novamente buscando a melhoria contínua da gestão da sua empresa.</a:t>
          </a:r>
        </a:p>
      </xdr:txBody>
    </xdr:sp>
    <xdr:clientData/>
  </xdr:oneCellAnchor>
  <xdr:twoCellAnchor editAs="absolute">
    <xdr:from>
      <xdr:col>2</xdr:col>
      <xdr:colOff>2090739</xdr:colOff>
      <xdr:row>1</xdr:row>
      <xdr:rowOff>33870</xdr:rowOff>
    </xdr:from>
    <xdr:to>
      <xdr:col>2</xdr:col>
      <xdr:colOff>3462339</xdr:colOff>
      <xdr:row>2</xdr:row>
      <xdr:rowOff>55966</xdr:rowOff>
    </xdr:to>
    <xdr:sp macro="" textlink="">
      <xdr:nvSpPr>
        <xdr:cNvPr id="14" name="Retângulo 13">
          <a:hlinkClick xmlns:r="http://schemas.openxmlformats.org/officeDocument/2006/relationships" r:id="rId1"/>
        </xdr:cNvPr>
        <xdr:cNvSpPr/>
      </xdr:nvSpPr>
      <xdr:spPr>
        <a:xfrm>
          <a:off x="2319339" y="414870"/>
          <a:ext cx="1371600" cy="3364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b="0">
              <a:solidFill>
                <a:schemeClr val="bg1"/>
              </a:solidFill>
              <a:latin typeface="+mn-lt"/>
              <a:ea typeface="+mn-ea"/>
              <a:cs typeface="+mn-cs"/>
            </a:rPr>
            <a:t>Plan</a:t>
          </a:r>
          <a:r>
            <a:rPr lang="pt-BR" sz="1100" b="0" baseline="0">
              <a:solidFill>
                <a:schemeClr val="bg1"/>
              </a:solidFill>
              <a:latin typeface="+mn-lt"/>
              <a:ea typeface="+mn-ea"/>
              <a:cs typeface="+mn-cs"/>
            </a:rPr>
            <a:t> (Planejamento)</a:t>
          </a:r>
          <a:endParaRPr lang="pt-BR" sz="1100" b="0">
            <a:solidFill>
              <a:schemeClr val="bg1"/>
            </a:solidFill>
            <a:latin typeface="+mn-lt"/>
            <a:ea typeface="+mn-ea"/>
            <a:cs typeface="+mn-cs"/>
          </a:endParaRPr>
        </a:p>
      </xdr:txBody>
    </xdr:sp>
    <xdr:clientData/>
  </xdr:twoCellAnchor>
  <xdr:twoCellAnchor editAs="absolute">
    <xdr:from>
      <xdr:col>2</xdr:col>
      <xdr:colOff>3497263</xdr:colOff>
      <xdr:row>1</xdr:row>
      <xdr:rowOff>33869</xdr:rowOff>
    </xdr:from>
    <xdr:to>
      <xdr:col>2</xdr:col>
      <xdr:colOff>4907278</xdr:colOff>
      <xdr:row>2</xdr:row>
      <xdr:rowOff>55563</xdr:rowOff>
    </xdr:to>
    <xdr:sp macro="" textlink="">
      <xdr:nvSpPr>
        <xdr:cNvPr id="15" name="Retângulo 14">
          <a:hlinkClick xmlns:r="http://schemas.openxmlformats.org/officeDocument/2006/relationships" r:id="rId2"/>
        </xdr:cNvPr>
        <xdr:cNvSpPr/>
      </xdr:nvSpPr>
      <xdr:spPr>
        <a:xfrm>
          <a:off x="3725863" y="414869"/>
          <a:ext cx="1410015" cy="336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a:solidFill>
                <a:schemeClr val="lt1"/>
              </a:solidFill>
              <a:latin typeface="+mn-lt"/>
              <a:ea typeface="+mn-ea"/>
              <a:cs typeface="+mn-cs"/>
            </a:rPr>
            <a:t>Do (Execução)</a:t>
          </a:r>
        </a:p>
      </xdr:txBody>
    </xdr:sp>
    <xdr:clientData/>
  </xdr:twoCellAnchor>
  <xdr:twoCellAnchor editAs="absolute">
    <xdr:from>
      <xdr:col>4</xdr:col>
      <xdr:colOff>560388</xdr:colOff>
      <xdr:row>1</xdr:row>
      <xdr:rowOff>29636</xdr:rowOff>
    </xdr:from>
    <xdr:to>
      <xdr:col>4</xdr:col>
      <xdr:colOff>2185776</xdr:colOff>
      <xdr:row>2</xdr:row>
      <xdr:rowOff>51330</xdr:rowOff>
    </xdr:to>
    <xdr:sp macro="" textlink="">
      <xdr:nvSpPr>
        <xdr:cNvPr id="16" name="Retângulo 15">
          <a:hlinkClick xmlns:r="http://schemas.openxmlformats.org/officeDocument/2006/relationships" r:id="rId3"/>
        </xdr:cNvPr>
        <xdr:cNvSpPr/>
      </xdr:nvSpPr>
      <xdr:spPr>
        <a:xfrm>
          <a:off x="6542088" y="410636"/>
          <a:ext cx="1625388" cy="33601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b="1">
              <a:solidFill>
                <a:sysClr val="windowText" lastClr="000000"/>
              </a:solidFill>
              <a:latin typeface="+mn-lt"/>
              <a:ea typeface="+mn-ea"/>
              <a:cs typeface="+mn-cs"/>
            </a:rPr>
            <a:t>Act (Ação)</a:t>
          </a:r>
        </a:p>
      </xdr:txBody>
    </xdr:sp>
    <xdr:clientData/>
  </xdr:twoCellAnchor>
  <xdr:twoCellAnchor editAs="absolute">
    <xdr:from>
      <xdr:col>2</xdr:col>
      <xdr:colOff>4939244</xdr:colOff>
      <xdr:row>1</xdr:row>
      <xdr:rowOff>29636</xdr:rowOff>
    </xdr:from>
    <xdr:to>
      <xdr:col>4</xdr:col>
      <xdr:colOff>536437</xdr:colOff>
      <xdr:row>2</xdr:row>
      <xdr:rowOff>51330</xdr:rowOff>
    </xdr:to>
    <xdr:sp macro="" textlink="">
      <xdr:nvSpPr>
        <xdr:cNvPr id="18" name="Retângulo 17">
          <a:hlinkClick xmlns:r="http://schemas.openxmlformats.org/officeDocument/2006/relationships" r:id="rId4"/>
        </xdr:cNvPr>
        <xdr:cNvSpPr/>
      </xdr:nvSpPr>
      <xdr:spPr>
        <a:xfrm>
          <a:off x="5167844" y="410636"/>
          <a:ext cx="1350293" cy="336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100">
              <a:solidFill>
                <a:schemeClr val="lt1"/>
              </a:solidFill>
              <a:latin typeface="+mn-lt"/>
              <a:ea typeface="+mn-ea"/>
              <a:cs typeface="+mn-cs"/>
            </a:rPr>
            <a:t>Check (Verificação)</a:t>
          </a:r>
        </a:p>
      </xdr:txBody>
    </xdr:sp>
    <xdr:clientData/>
  </xdr:twoCellAnchor>
  <xdr:twoCellAnchor editAs="absolute">
    <xdr:from>
      <xdr:col>2</xdr:col>
      <xdr:colOff>2122749</xdr:colOff>
      <xdr:row>0</xdr:row>
      <xdr:rowOff>0</xdr:rowOff>
    </xdr:from>
    <xdr:to>
      <xdr:col>2</xdr:col>
      <xdr:colOff>3186908</xdr:colOff>
      <xdr:row>1</xdr:row>
      <xdr:rowOff>15000</xdr:rowOff>
    </xdr:to>
    <xdr:sp macro="" textlink="">
      <xdr:nvSpPr>
        <xdr:cNvPr id="21" name="Retângulo 20">
          <a:hlinkClick xmlns:r="http://schemas.openxmlformats.org/officeDocument/2006/relationships" r:id="rId1"/>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2</xdr:col>
      <xdr:colOff>3258074</xdr:colOff>
      <xdr:row>0</xdr:row>
      <xdr:rowOff>0</xdr:rowOff>
    </xdr:from>
    <xdr:to>
      <xdr:col>2</xdr:col>
      <xdr:colOff>4421710</xdr:colOff>
      <xdr:row>1</xdr:row>
      <xdr:rowOff>15000</xdr:rowOff>
    </xdr:to>
    <xdr:sp macro="" textlink="">
      <xdr:nvSpPr>
        <xdr:cNvPr id="22" name="Retângulo 21">
          <a:hlinkClick xmlns:r="http://schemas.openxmlformats.org/officeDocument/2006/relationships" r:id="rId5"/>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GRÁFICOS</a:t>
          </a:r>
        </a:p>
      </xdr:txBody>
    </xdr:sp>
    <xdr:clientData/>
  </xdr:twoCellAnchor>
  <xdr:twoCellAnchor editAs="absolute">
    <xdr:from>
      <xdr:col>2</xdr:col>
      <xdr:colOff>5600687</xdr:colOff>
      <xdr:row>0</xdr:row>
      <xdr:rowOff>0</xdr:rowOff>
    </xdr:from>
    <xdr:to>
      <xdr:col>4</xdr:col>
      <xdr:colOff>892695</xdr:colOff>
      <xdr:row>1</xdr:row>
      <xdr:rowOff>15000</xdr:rowOff>
    </xdr:to>
    <xdr:sp macro="" textlink="">
      <xdr:nvSpPr>
        <xdr:cNvPr id="23" name="Retângulo 22">
          <a:hlinkClick xmlns:r="http://schemas.openxmlformats.org/officeDocument/2006/relationships" r:id="rId6"/>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4</xdr:col>
      <xdr:colOff>2081195</xdr:colOff>
      <xdr:row>0</xdr:row>
      <xdr:rowOff>0</xdr:rowOff>
    </xdr:from>
    <xdr:to>
      <xdr:col>4</xdr:col>
      <xdr:colOff>3154879</xdr:colOff>
      <xdr:row>1</xdr:row>
      <xdr:rowOff>15000</xdr:rowOff>
    </xdr:to>
    <xdr:sp macro="" textlink="">
      <xdr:nvSpPr>
        <xdr:cNvPr id="24" name="Retângulo 23">
          <a:hlinkClick xmlns:r="http://schemas.openxmlformats.org/officeDocument/2006/relationships" r:id="rId7"/>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2</xdr:col>
      <xdr:colOff>733583</xdr:colOff>
      <xdr:row>0</xdr:row>
      <xdr:rowOff>378000</xdr:rowOff>
    </xdr:to>
    <xdr:pic>
      <xdr:nvPicPr>
        <xdr:cNvPr id="25" name="Imagem 2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2</xdr:col>
      <xdr:colOff>4486268</xdr:colOff>
      <xdr:row>0</xdr:row>
      <xdr:rowOff>0</xdr:rowOff>
    </xdr:from>
    <xdr:to>
      <xdr:col>2</xdr:col>
      <xdr:colOff>5531376</xdr:colOff>
      <xdr:row>1</xdr:row>
      <xdr:rowOff>15000</xdr:rowOff>
    </xdr:to>
    <xdr:sp macro="" textlink="">
      <xdr:nvSpPr>
        <xdr:cNvPr id="26" name="Retângulo 25">
          <a:hlinkClick xmlns:r="http://schemas.openxmlformats.org/officeDocument/2006/relationships" r:id="rId9"/>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4</xdr:col>
      <xdr:colOff>952493</xdr:colOff>
      <xdr:row>0</xdr:row>
      <xdr:rowOff>0</xdr:rowOff>
    </xdr:from>
    <xdr:to>
      <xdr:col>4</xdr:col>
      <xdr:colOff>1997601</xdr:colOff>
      <xdr:row>1</xdr:row>
      <xdr:rowOff>15000</xdr:rowOff>
    </xdr:to>
    <xdr:sp macro="" textlink="">
      <xdr:nvSpPr>
        <xdr:cNvPr id="27" name="Retângulo 26">
          <a:hlinkClick xmlns:r="http://schemas.openxmlformats.org/officeDocument/2006/relationships" r:id="rId10"/>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6360</xdr:colOff>
      <xdr:row>2</xdr:row>
      <xdr:rowOff>167218</xdr:rowOff>
    </xdr:from>
    <xdr:ext cx="6519333" cy="405367"/>
    <xdr:sp macro="" textlink="">
      <xdr:nvSpPr>
        <xdr:cNvPr id="17" name="CaixaDeTexto 16"/>
        <xdr:cNvSpPr txBox="1"/>
      </xdr:nvSpPr>
      <xdr:spPr>
        <a:xfrm>
          <a:off x="4711710" y="862543"/>
          <a:ext cx="6519333"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000">
              <a:solidFill>
                <a:schemeClr val="tx1"/>
              </a:solidFill>
              <a:effectLst/>
              <a:latin typeface="+mn-lt"/>
              <a:ea typeface="+mn-ea"/>
              <a:cs typeface="+mn-cs"/>
            </a:rPr>
            <a:t>Faça uma</a:t>
          </a:r>
          <a:r>
            <a:rPr lang="pt-BR" sz="1000" baseline="0">
              <a:solidFill>
                <a:schemeClr val="tx1"/>
              </a:solidFill>
              <a:effectLst/>
              <a:latin typeface="+mn-lt"/>
              <a:ea typeface="+mn-ea"/>
              <a:cs typeface="+mn-cs"/>
            </a:rPr>
            <a:t> análise dos resultados através destes gráficos. Os gráficos são formas simples para exibir resultados visuais mais fáceis de serem interpretados.</a:t>
          </a:r>
          <a:endParaRPr lang="pt-BR" sz="900">
            <a:effectLst/>
          </a:endParaRPr>
        </a:p>
      </xdr:txBody>
    </xdr:sp>
    <xdr:clientData/>
  </xdr:oneCellAnchor>
  <xdr:twoCellAnchor editAs="oneCell">
    <xdr:from>
      <xdr:col>2</xdr:col>
      <xdr:colOff>47625</xdr:colOff>
      <xdr:row>44</xdr:row>
      <xdr:rowOff>171450</xdr:rowOff>
    </xdr:from>
    <xdr:to>
      <xdr:col>7</xdr:col>
      <xdr:colOff>438150</xdr:colOff>
      <xdr:row>58</xdr:row>
      <xdr:rowOff>76200</xdr:rowOff>
    </xdr:to>
    <xdr:graphicFrame macro="">
      <xdr:nvGraphicFramePr>
        <xdr:cNvPr id="18448" name="Gráfico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495300</xdr:colOff>
      <xdr:row>44</xdr:row>
      <xdr:rowOff>171450</xdr:rowOff>
    </xdr:from>
    <xdr:to>
      <xdr:col>13</xdr:col>
      <xdr:colOff>447675</xdr:colOff>
      <xdr:row>58</xdr:row>
      <xdr:rowOff>76200</xdr:rowOff>
    </xdr:to>
    <xdr:graphicFrame macro="">
      <xdr:nvGraphicFramePr>
        <xdr:cNvPr id="18449" name="Gráfico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504825</xdr:colOff>
      <xdr:row>44</xdr:row>
      <xdr:rowOff>171450</xdr:rowOff>
    </xdr:from>
    <xdr:to>
      <xdr:col>19</xdr:col>
      <xdr:colOff>352425</xdr:colOff>
      <xdr:row>58</xdr:row>
      <xdr:rowOff>76200</xdr:rowOff>
    </xdr:to>
    <xdr:graphicFrame macro="">
      <xdr:nvGraphicFramePr>
        <xdr:cNvPr id="18450" name="Gráfico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76199</xdr:colOff>
      <xdr:row>6</xdr:row>
      <xdr:rowOff>114300</xdr:rowOff>
    </xdr:from>
    <xdr:to>
      <xdr:col>7</xdr:col>
      <xdr:colOff>216674</xdr:colOff>
      <xdr:row>15</xdr:row>
      <xdr:rowOff>192375</xdr:rowOff>
    </xdr:to>
    <xdr:graphicFrame macro="">
      <xdr:nvGraphicFramePr>
        <xdr:cNvPr id="18451" name="Gráfico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266699</xdr:colOff>
      <xdr:row>6</xdr:row>
      <xdr:rowOff>114300</xdr:rowOff>
    </xdr:from>
    <xdr:to>
      <xdr:col>13</xdr:col>
      <xdr:colOff>283349</xdr:colOff>
      <xdr:row>15</xdr:row>
      <xdr:rowOff>192375</xdr:rowOff>
    </xdr:to>
    <xdr:graphicFrame macro="">
      <xdr:nvGraphicFramePr>
        <xdr:cNvPr id="18452" name="Gráfico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13</xdr:col>
      <xdr:colOff>323850</xdr:colOff>
      <xdr:row>6</xdr:row>
      <xdr:rowOff>114300</xdr:rowOff>
    </xdr:from>
    <xdr:to>
      <xdr:col>19</xdr:col>
      <xdr:colOff>340500</xdr:colOff>
      <xdr:row>15</xdr:row>
      <xdr:rowOff>192375</xdr:rowOff>
    </xdr:to>
    <xdr:graphicFrame macro="">
      <xdr:nvGraphicFramePr>
        <xdr:cNvPr id="18453" name="Gráfico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76199</xdr:colOff>
      <xdr:row>16</xdr:row>
      <xdr:rowOff>9524</xdr:rowOff>
    </xdr:from>
    <xdr:to>
      <xdr:col>7</xdr:col>
      <xdr:colOff>216674</xdr:colOff>
      <xdr:row>26</xdr:row>
      <xdr:rowOff>87599</xdr:rowOff>
    </xdr:to>
    <xdr:graphicFrame macro="">
      <xdr:nvGraphicFramePr>
        <xdr:cNvPr id="18454" name="Gráfico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266698</xdr:colOff>
      <xdr:row>16</xdr:row>
      <xdr:rowOff>9524</xdr:rowOff>
    </xdr:from>
    <xdr:to>
      <xdr:col>13</xdr:col>
      <xdr:colOff>283348</xdr:colOff>
      <xdr:row>26</xdr:row>
      <xdr:rowOff>87599</xdr:rowOff>
    </xdr:to>
    <xdr:graphicFrame macro="">
      <xdr:nvGraphicFramePr>
        <xdr:cNvPr id="18455" name="Gráfico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13</xdr:col>
      <xdr:colOff>323850</xdr:colOff>
      <xdr:row>16</xdr:row>
      <xdr:rowOff>9524</xdr:rowOff>
    </xdr:from>
    <xdr:to>
      <xdr:col>19</xdr:col>
      <xdr:colOff>340500</xdr:colOff>
      <xdr:row>26</xdr:row>
      <xdr:rowOff>87599</xdr:rowOff>
    </xdr:to>
    <xdr:graphicFrame macro="">
      <xdr:nvGraphicFramePr>
        <xdr:cNvPr id="18456" name="Gráfico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xdr:col>
      <xdr:colOff>76199</xdr:colOff>
      <xdr:row>26</xdr:row>
      <xdr:rowOff>180975</xdr:rowOff>
    </xdr:from>
    <xdr:to>
      <xdr:col>10</xdr:col>
      <xdr:colOff>246599</xdr:colOff>
      <xdr:row>40</xdr:row>
      <xdr:rowOff>161925</xdr:rowOff>
    </xdr:to>
    <xdr:graphicFrame macro="">
      <xdr:nvGraphicFramePr>
        <xdr:cNvPr id="18457"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293925</xdr:colOff>
      <xdr:row>26</xdr:row>
      <xdr:rowOff>180975</xdr:rowOff>
    </xdr:from>
    <xdr:to>
      <xdr:col>19</xdr:col>
      <xdr:colOff>340500</xdr:colOff>
      <xdr:row>40</xdr:row>
      <xdr:rowOff>161925</xdr:rowOff>
    </xdr:to>
    <xdr:graphicFrame macro="">
      <xdr:nvGraphicFramePr>
        <xdr:cNvPr id="18458" name="Gráfico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1952625</xdr:colOff>
      <xdr:row>4</xdr:row>
      <xdr:rowOff>85725</xdr:rowOff>
    </xdr:from>
    <xdr:to>
      <xdr:col>2</xdr:col>
      <xdr:colOff>1190625</xdr:colOff>
      <xdr:row>4</xdr:row>
      <xdr:rowOff>447675</xdr:rowOff>
    </xdr:to>
    <xdr:pic>
      <xdr:nvPicPr>
        <xdr:cNvPr id="18460" name="Imagem 4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305175" y="990600"/>
          <a:ext cx="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274899</xdr:colOff>
      <xdr:row>0</xdr:row>
      <xdr:rowOff>0</xdr:rowOff>
    </xdr:from>
    <xdr:to>
      <xdr:col>6</xdr:col>
      <xdr:colOff>24608</xdr:colOff>
      <xdr:row>1</xdr:row>
      <xdr:rowOff>15000</xdr:rowOff>
    </xdr:to>
    <xdr:sp macro="" textlink="">
      <xdr:nvSpPr>
        <xdr:cNvPr id="15" name="Retângulo 14">
          <a:hlinkClick xmlns:r="http://schemas.openxmlformats.org/officeDocument/2006/relationships" r:id="rId13"/>
          <a:extLst>
            <a:ext uri="{FF2B5EF4-FFF2-40B4-BE49-F238E27FC236}">
              <a16:creationId xmlns="" xmlns:a16="http://schemas.microsoft.com/office/drawing/2014/main" id="{59780814-C7F9-4922-9F89-14605BB9382F}"/>
            </a:ext>
          </a:extLst>
        </xdr:cNvPr>
        <xdr:cNvSpPr/>
      </xdr:nvSpPr>
      <xdr:spPr>
        <a:xfrm>
          <a:off x="2351349" y="0"/>
          <a:ext cx="1064159"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PDCA</a:t>
          </a:r>
        </a:p>
      </xdr:txBody>
    </xdr:sp>
    <xdr:clientData/>
  </xdr:twoCellAnchor>
  <xdr:twoCellAnchor editAs="absolute">
    <xdr:from>
      <xdr:col>6</xdr:col>
      <xdr:colOff>95774</xdr:colOff>
      <xdr:row>0</xdr:row>
      <xdr:rowOff>0</xdr:rowOff>
    </xdr:from>
    <xdr:to>
      <xdr:col>7</xdr:col>
      <xdr:colOff>602185</xdr:colOff>
      <xdr:row>1</xdr:row>
      <xdr:rowOff>15000</xdr:rowOff>
    </xdr:to>
    <xdr:sp macro="" textlink="">
      <xdr:nvSpPr>
        <xdr:cNvPr id="16" name="Retângulo 15">
          <a:hlinkClick xmlns:r="http://schemas.openxmlformats.org/officeDocument/2006/relationships" r:id="rId14"/>
          <a:extLst>
            <a:ext uri="{FF2B5EF4-FFF2-40B4-BE49-F238E27FC236}">
              <a16:creationId xmlns="" xmlns:a16="http://schemas.microsoft.com/office/drawing/2014/main" id="{4D6D05B1-42C8-47E2-90C8-8606C977F2FF}"/>
            </a:ext>
          </a:extLst>
        </xdr:cNvPr>
        <xdr:cNvSpPr/>
      </xdr:nvSpPr>
      <xdr:spPr>
        <a:xfrm>
          <a:off x="3486674" y="0"/>
          <a:ext cx="1163636" cy="396000"/>
        </a:xfrm>
        <a:prstGeom prst="rect">
          <a:avLst/>
        </a:prstGeom>
        <a:solidFill>
          <a:schemeClr val="accent1"/>
        </a:solidFill>
        <a:ln>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1">
              <a:solidFill>
                <a:schemeClr val="bg1"/>
              </a:solidFill>
            </a:rPr>
            <a:t>GRÁFICOS</a:t>
          </a:r>
        </a:p>
      </xdr:txBody>
    </xdr:sp>
    <xdr:clientData/>
  </xdr:twoCellAnchor>
  <xdr:twoCellAnchor editAs="absolute">
    <xdr:from>
      <xdr:col>9</xdr:col>
      <xdr:colOff>466712</xdr:colOff>
      <xdr:row>0</xdr:row>
      <xdr:rowOff>0</xdr:rowOff>
    </xdr:from>
    <xdr:to>
      <xdr:col>11</xdr:col>
      <xdr:colOff>197370</xdr:colOff>
      <xdr:row>1</xdr:row>
      <xdr:rowOff>15000</xdr:rowOff>
    </xdr:to>
    <xdr:sp macro="" textlink="">
      <xdr:nvSpPr>
        <xdr:cNvPr id="18" name="Retângulo 17">
          <a:hlinkClick xmlns:r="http://schemas.openxmlformats.org/officeDocument/2006/relationships" r:id="rId15"/>
          <a:extLst>
            <a:ext uri="{FF2B5EF4-FFF2-40B4-BE49-F238E27FC236}">
              <a16:creationId xmlns="" xmlns:a16="http://schemas.microsoft.com/office/drawing/2014/main" id="{8B667718-2F2C-484E-9D8C-4658B16D3488}"/>
            </a:ext>
          </a:extLst>
        </xdr:cNvPr>
        <xdr:cNvSpPr/>
      </xdr:nvSpPr>
      <xdr:spPr>
        <a:xfrm>
          <a:off x="5829287"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RELATÓRIO</a:t>
          </a:r>
        </a:p>
      </xdr:txBody>
    </xdr:sp>
    <xdr:clientData/>
  </xdr:twoCellAnchor>
  <xdr:twoCellAnchor editAs="absolute">
    <xdr:from>
      <xdr:col>13</xdr:col>
      <xdr:colOff>71420</xdr:colOff>
      <xdr:row>0</xdr:row>
      <xdr:rowOff>0</xdr:rowOff>
    </xdr:from>
    <xdr:to>
      <xdr:col>14</xdr:col>
      <xdr:colOff>487879</xdr:colOff>
      <xdr:row>1</xdr:row>
      <xdr:rowOff>15000</xdr:rowOff>
    </xdr:to>
    <xdr:sp macro="" textlink="">
      <xdr:nvSpPr>
        <xdr:cNvPr id="19" name="Retângulo 18">
          <a:hlinkClick xmlns:r="http://schemas.openxmlformats.org/officeDocument/2006/relationships" r:id="rId16"/>
          <a:extLst>
            <a:ext uri="{FF2B5EF4-FFF2-40B4-BE49-F238E27FC236}">
              <a16:creationId xmlns="" xmlns:a16="http://schemas.microsoft.com/office/drawing/2014/main" id="{76C32809-6107-4C6B-85DF-66702C9AF183}"/>
            </a:ext>
          </a:extLst>
        </xdr:cNvPr>
        <xdr:cNvSpPr/>
      </xdr:nvSpPr>
      <xdr:spPr>
        <a:xfrm>
          <a:off x="8062895" y="0"/>
          <a:ext cx="1073684"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INSTUÇÕES</a:t>
          </a:r>
        </a:p>
      </xdr:txBody>
    </xdr:sp>
    <xdr:clientData/>
  </xdr:twoCellAnchor>
  <xdr:twoCellAnchor editAs="absolute">
    <xdr:from>
      <xdr:col>0</xdr:col>
      <xdr:colOff>0</xdr:colOff>
      <xdr:row>0</xdr:row>
      <xdr:rowOff>0</xdr:rowOff>
    </xdr:from>
    <xdr:to>
      <xdr:col>2</xdr:col>
      <xdr:colOff>733583</xdr:colOff>
      <xdr:row>0</xdr:row>
      <xdr:rowOff>378000</xdr:rowOff>
    </xdr:to>
    <xdr:pic>
      <xdr:nvPicPr>
        <xdr:cNvPr id="20" name="Imagem 1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0"/>
          <a:ext cx="962183" cy="378000"/>
        </a:xfrm>
        <a:prstGeom prst="rect">
          <a:avLst/>
        </a:prstGeom>
      </xdr:spPr>
    </xdr:pic>
    <xdr:clientData/>
  </xdr:twoCellAnchor>
  <xdr:twoCellAnchor editAs="absolute">
    <xdr:from>
      <xdr:col>8</xdr:col>
      <xdr:colOff>9518</xdr:colOff>
      <xdr:row>0</xdr:row>
      <xdr:rowOff>0</xdr:rowOff>
    </xdr:from>
    <xdr:to>
      <xdr:col>9</xdr:col>
      <xdr:colOff>397401</xdr:colOff>
      <xdr:row>1</xdr:row>
      <xdr:rowOff>15000</xdr:rowOff>
    </xdr:to>
    <xdr:sp macro="" textlink="">
      <xdr:nvSpPr>
        <xdr:cNvPr id="21" name="Retângulo 20">
          <a:hlinkClick xmlns:r="http://schemas.openxmlformats.org/officeDocument/2006/relationships" r:id="rId18"/>
          <a:extLst>
            <a:ext uri="{FF2B5EF4-FFF2-40B4-BE49-F238E27FC236}">
              <a16:creationId xmlns="" xmlns:a16="http://schemas.microsoft.com/office/drawing/2014/main" id="{8B667718-2F2C-484E-9D8C-4658B16D3488}"/>
            </a:ext>
          </a:extLst>
        </xdr:cNvPr>
        <xdr:cNvSpPr/>
      </xdr:nvSpPr>
      <xdr:spPr>
        <a:xfrm>
          <a:off x="4714868"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ALERTAS</a:t>
          </a:r>
        </a:p>
      </xdr:txBody>
    </xdr:sp>
    <xdr:clientData/>
  </xdr:twoCellAnchor>
  <xdr:twoCellAnchor editAs="absolute">
    <xdr:from>
      <xdr:col>11</xdr:col>
      <xdr:colOff>257168</xdr:colOff>
      <xdr:row>0</xdr:row>
      <xdr:rowOff>0</xdr:rowOff>
    </xdr:from>
    <xdr:to>
      <xdr:col>12</xdr:col>
      <xdr:colOff>645051</xdr:colOff>
      <xdr:row>1</xdr:row>
      <xdr:rowOff>15000</xdr:rowOff>
    </xdr:to>
    <xdr:sp macro="" textlink="">
      <xdr:nvSpPr>
        <xdr:cNvPr id="22" name="Retângulo 21">
          <a:hlinkClick xmlns:r="http://schemas.openxmlformats.org/officeDocument/2006/relationships" r:id="rId19"/>
          <a:extLst>
            <a:ext uri="{FF2B5EF4-FFF2-40B4-BE49-F238E27FC236}">
              <a16:creationId xmlns="" xmlns:a16="http://schemas.microsoft.com/office/drawing/2014/main" id="{8B667718-2F2C-484E-9D8C-4658B16D3488}"/>
            </a:ext>
          </a:extLst>
        </xdr:cNvPr>
        <xdr:cNvSpPr/>
      </xdr:nvSpPr>
      <xdr:spPr>
        <a:xfrm>
          <a:off x="6934193" y="0"/>
          <a:ext cx="1045108" cy="3960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DASHBOARD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souza.xyz/produto/planilha-plano-acao-5w2h/" TargetMode="External"/><Relationship Id="rId7" Type="http://schemas.openxmlformats.org/officeDocument/2006/relationships/drawing" Target="../drawings/drawing3.xml"/><Relationship Id="rId2" Type="http://schemas.openxmlformats.org/officeDocument/2006/relationships/hyperlink" Target="https://souza.xyz/produto/planilha-ciclo-pdca/" TargetMode="External"/><Relationship Id="rId1" Type="http://schemas.openxmlformats.org/officeDocument/2006/relationships/hyperlink" Target="http://luz.vc/ferramentas/planilhas-prontas/planilha-avaliacao-desempenho-competencia/?utm_source=referral&amp;utm_medium=produtos&amp;utm_campaign=fc3" TargetMode="External"/><Relationship Id="rId6" Type="http://schemas.openxmlformats.org/officeDocument/2006/relationships/printerSettings" Target="../printerSettings/printerSettings3.bin"/><Relationship Id="rId5" Type="http://schemas.openxmlformats.org/officeDocument/2006/relationships/hyperlink" Target="https://souza.xyz/produto/planilha-de-priorizacao-e-solucao-de-problemas/" TargetMode="External"/><Relationship Id="rId4" Type="http://schemas.openxmlformats.org/officeDocument/2006/relationships/hyperlink" Target="https://souza.xyz/produto/matriz-de-gut-priorizacao-de-problema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9"/>
  <sheetViews>
    <sheetView showGridLines="0" tabSelected="1" zoomScaleNormal="100" workbookViewId="0"/>
  </sheetViews>
  <sheetFormatPr defaultRowHeight="15" x14ac:dyDescent="0.25"/>
  <cols>
    <col min="1" max="1" width="3" style="71" customWidth="1"/>
    <col min="2" max="2" width="26" style="71" customWidth="1"/>
    <col min="3" max="3" width="37.5703125" style="71" customWidth="1"/>
    <col min="4" max="16384" width="9.140625" style="71"/>
  </cols>
  <sheetData>
    <row r="1" spans="2:20" s="14" customFormat="1" ht="30" customHeight="1" x14ac:dyDescent="0.25"/>
    <row r="2" spans="2:20" s="16" customFormat="1" ht="24.95" customHeight="1" x14ac:dyDescent="0.25"/>
    <row r="3" spans="2:20" s="18" customFormat="1" ht="20.100000000000001" customHeight="1" x14ac:dyDescent="0.25"/>
    <row r="4" spans="2:20" s="207" customFormat="1" ht="33.75" x14ac:dyDescent="0.25">
      <c r="B4" s="206" t="s">
        <v>137</v>
      </c>
      <c r="C4" s="206"/>
      <c r="D4" s="206"/>
      <c r="E4" s="206"/>
      <c r="F4" s="206"/>
      <c r="G4" s="206"/>
      <c r="H4" s="206"/>
      <c r="I4" s="206"/>
      <c r="J4" s="206"/>
      <c r="K4" s="206"/>
      <c r="L4" s="206"/>
      <c r="M4" s="206"/>
      <c r="N4" s="206"/>
      <c r="O4" s="206"/>
      <c r="P4" s="206"/>
      <c r="Q4" s="206"/>
      <c r="R4" s="206"/>
      <c r="S4" s="206"/>
      <c r="T4" s="206"/>
    </row>
    <row r="5" spans="2:20" s="207" customFormat="1" ht="51.75" customHeight="1" x14ac:dyDescent="0.25">
      <c r="B5" s="208" t="s">
        <v>144</v>
      </c>
      <c r="C5" s="208"/>
      <c r="D5" s="208"/>
      <c r="E5" s="208"/>
      <c r="F5" s="208"/>
      <c r="G5" s="208"/>
      <c r="H5" s="208"/>
      <c r="I5" s="208"/>
      <c r="J5" s="208"/>
      <c r="K5" s="208"/>
      <c r="L5" s="208"/>
      <c r="M5" s="208"/>
      <c r="N5" s="208"/>
      <c r="O5" s="208"/>
      <c r="P5" s="208"/>
      <c r="Q5" s="209"/>
      <c r="R5" s="209"/>
      <c r="S5" s="209"/>
      <c r="T5" s="209"/>
    </row>
    <row r="6" spans="2:20" s="99" customFormat="1" ht="15.75" x14ac:dyDescent="0.25">
      <c r="B6" s="210" t="s">
        <v>138</v>
      </c>
      <c r="C6" s="211"/>
      <c r="D6" s="211"/>
      <c r="E6" s="211"/>
      <c r="F6" s="211"/>
      <c r="G6" s="211"/>
      <c r="H6" s="211"/>
      <c r="I6" s="211"/>
      <c r="J6" s="211"/>
      <c r="K6" s="211"/>
      <c r="L6" s="211"/>
      <c r="M6" s="211"/>
      <c r="N6" s="211"/>
      <c r="O6" s="211"/>
      <c r="P6" s="165"/>
      <c r="Q6" s="165"/>
      <c r="R6" s="165"/>
      <c r="S6" s="165"/>
      <c r="T6" s="165"/>
    </row>
    <row r="7" spans="2:20" ht="81" customHeight="1" x14ac:dyDescent="0.25">
      <c r="B7" s="212" t="s">
        <v>65</v>
      </c>
      <c r="C7" s="213" t="s">
        <v>139</v>
      </c>
      <c r="D7" s="214"/>
      <c r="E7" s="214"/>
      <c r="F7" s="214"/>
      <c r="G7" s="214"/>
      <c r="H7" s="214"/>
      <c r="I7" s="214"/>
      <c r="J7" s="214"/>
      <c r="K7" s="214"/>
      <c r="L7" s="214"/>
      <c r="M7" s="214"/>
      <c r="N7" s="215"/>
      <c r="O7" s="216"/>
      <c r="P7" s="79"/>
      <c r="Q7" s="79"/>
      <c r="R7" s="79"/>
      <c r="S7" s="79"/>
    </row>
    <row r="8" spans="2:20" ht="5.0999999999999996" customHeight="1" x14ac:dyDescent="0.25">
      <c r="B8" s="79"/>
      <c r="C8" s="79"/>
      <c r="D8" s="79"/>
      <c r="E8" s="79"/>
      <c r="F8" s="79"/>
      <c r="G8" s="79"/>
      <c r="H8" s="79"/>
      <c r="I8" s="79"/>
      <c r="J8" s="79"/>
      <c r="K8" s="79"/>
      <c r="L8" s="79"/>
      <c r="M8" s="79"/>
      <c r="N8" s="79"/>
      <c r="O8" s="79"/>
      <c r="P8" s="79"/>
      <c r="Q8" s="79"/>
      <c r="R8" s="79"/>
      <c r="S8" s="79"/>
      <c r="T8" s="79"/>
    </row>
    <row r="9" spans="2:20" ht="54" customHeight="1" x14ac:dyDescent="0.25">
      <c r="B9" s="212" t="s">
        <v>20</v>
      </c>
      <c r="C9" s="217" t="s">
        <v>141</v>
      </c>
      <c r="D9" s="218"/>
      <c r="E9" s="218"/>
      <c r="F9" s="218"/>
      <c r="G9" s="218"/>
      <c r="H9" s="218"/>
      <c r="I9" s="218"/>
      <c r="J9" s="218"/>
      <c r="K9" s="218"/>
      <c r="L9" s="218"/>
      <c r="M9" s="218"/>
      <c r="N9" s="218"/>
      <c r="O9" s="216"/>
      <c r="P9" s="79"/>
      <c r="Q9" s="79"/>
      <c r="R9" s="79"/>
      <c r="S9" s="79"/>
    </row>
    <row r="10" spans="2:20" ht="5.0999999999999996" customHeight="1" x14ac:dyDescent="0.25">
      <c r="B10" s="79"/>
      <c r="C10" s="79"/>
      <c r="D10" s="79"/>
      <c r="E10" s="79"/>
      <c r="F10" s="79"/>
      <c r="G10" s="79"/>
      <c r="H10" s="79"/>
      <c r="I10" s="79"/>
      <c r="J10" s="79"/>
      <c r="K10" s="79"/>
      <c r="L10" s="79"/>
      <c r="M10" s="79"/>
      <c r="N10" s="79"/>
      <c r="O10" s="79"/>
      <c r="P10" s="79"/>
      <c r="Q10" s="79"/>
      <c r="R10" s="79"/>
      <c r="S10" s="79"/>
      <c r="T10" s="79"/>
    </row>
    <row r="11" spans="2:20" ht="54" customHeight="1" x14ac:dyDescent="0.25">
      <c r="B11" s="212" t="s">
        <v>140</v>
      </c>
      <c r="C11" s="217" t="s">
        <v>22</v>
      </c>
      <c r="D11" s="218"/>
      <c r="E11" s="218"/>
      <c r="F11" s="218"/>
      <c r="G11" s="218"/>
      <c r="H11" s="218"/>
      <c r="I11" s="218"/>
      <c r="J11" s="218"/>
      <c r="K11" s="218"/>
      <c r="L11" s="218"/>
      <c r="M11" s="218"/>
      <c r="N11" s="218"/>
      <c r="O11" s="216"/>
      <c r="P11" s="79"/>
      <c r="Q11" s="79"/>
      <c r="R11" s="79"/>
      <c r="S11" s="79"/>
    </row>
    <row r="12" spans="2:20" ht="5.0999999999999996" customHeight="1" x14ac:dyDescent="0.25">
      <c r="B12" s="219"/>
      <c r="C12" s="220"/>
      <c r="D12" s="221"/>
      <c r="E12" s="221"/>
      <c r="F12" s="221"/>
      <c r="G12" s="221"/>
      <c r="H12" s="221"/>
      <c r="I12" s="221"/>
      <c r="J12" s="221"/>
      <c r="K12" s="221"/>
      <c r="L12" s="221"/>
      <c r="M12" s="221"/>
      <c r="N12" s="221"/>
      <c r="O12" s="221"/>
      <c r="P12" s="221"/>
      <c r="Q12" s="79"/>
      <c r="R12" s="79"/>
      <c r="S12" s="79"/>
      <c r="T12" s="79"/>
    </row>
    <row r="13" spans="2:20" ht="54" customHeight="1" x14ac:dyDescent="0.25">
      <c r="B13" s="212" t="s">
        <v>96</v>
      </c>
      <c r="C13" s="217" t="s">
        <v>142</v>
      </c>
      <c r="D13" s="218"/>
      <c r="E13" s="218"/>
      <c r="F13" s="218"/>
      <c r="G13" s="218"/>
      <c r="H13" s="218"/>
      <c r="I13" s="218"/>
      <c r="J13" s="218"/>
      <c r="K13" s="218"/>
      <c r="L13" s="218"/>
      <c r="M13" s="218"/>
      <c r="N13" s="218"/>
      <c r="O13" s="216"/>
      <c r="P13" s="79"/>
      <c r="Q13" s="79"/>
      <c r="R13" s="79"/>
      <c r="S13" s="79"/>
    </row>
    <row r="14" spans="2:20" ht="5.0999999999999996" customHeight="1" x14ac:dyDescent="0.25">
      <c r="B14" s="79"/>
      <c r="C14" s="79"/>
      <c r="D14" s="79"/>
      <c r="E14" s="79"/>
      <c r="F14" s="79"/>
      <c r="G14" s="79"/>
      <c r="H14" s="79"/>
      <c r="I14" s="79"/>
      <c r="J14" s="79"/>
      <c r="K14" s="79"/>
      <c r="L14" s="79"/>
      <c r="M14" s="79"/>
      <c r="N14" s="79"/>
      <c r="O14" s="79"/>
      <c r="P14" s="79"/>
      <c r="Q14" s="79"/>
      <c r="R14" s="79"/>
      <c r="S14" s="79"/>
      <c r="T14" s="79"/>
    </row>
    <row r="15" spans="2:20" ht="54" customHeight="1" x14ac:dyDescent="0.25">
      <c r="B15" s="212" t="s">
        <v>97</v>
      </c>
      <c r="C15" s="217" t="s">
        <v>143</v>
      </c>
      <c r="D15" s="218"/>
      <c r="E15" s="218"/>
      <c r="F15" s="218"/>
      <c r="G15" s="218"/>
      <c r="H15" s="218"/>
      <c r="I15" s="218"/>
      <c r="J15" s="218"/>
      <c r="K15" s="218"/>
      <c r="L15" s="218"/>
      <c r="M15" s="218"/>
      <c r="N15" s="218"/>
      <c r="O15" s="216"/>
      <c r="P15" s="79"/>
      <c r="Q15" s="79"/>
      <c r="R15" s="79"/>
      <c r="S15" s="79"/>
    </row>
    <row r="16" spans="2:20" ht="5.0999999999999996" customHeight="1" x14ac:dyDescent="0.25">
      <c r="B16" s="79"/>
      <c r="C16" s="79"/>
      <c r="D16" s="79"/>
      <c r="E16" s="79"/>
      <c r="F16" s="79"/>
      <c r="G16" s="79"/>
      <c r="H16" s="79"/>
      <c r="I16" s="79"/>
      <c r="J16" s="79"/>
      <c r="K16" s="79"/>
      <c r="L16" s="79"/>
      <c r="M16" s="79"/>
      <c r="N16" s="79"/>
      <c r="O16" s="79"/>
      <c r="P16" s="79"/>
      <c r="Q16" s="79"/>
      <c r="R16" s="79"/>
      <c r="S16" s="79"/>
      <c r="T16" s="79"/>
    </row>
    <row r="17" spans="2:20" x14ac:dyDescent="0.25">
      <c r="B17" s="79"/>
      <c r="C17" s="79"/>
      <c r="D17" s="79"/>
      <c r="E17" s="79"/>
      <c r="F17" s="79"/>
      <c r="G17" s="79"/>
      <c r="H17" s="79"/>
      <c r="I17" s="79"/>
      <c r="J17" s="79"/>
      <c r="K17" s="79"/>
      <c r="L17" s="79"/>
      <c r="M17" s="79"/>
      <c r="N17" s="79"/>
      <c r="O17" s="79"/>
      <c r="P17" s="79"/>
      <c r="Q17" s="79"/>
      <c r="R17" s="79"/>
      <c r="S17" s="79"/>
      <c r="T17" s="79"/>
    </row>
    <row r="18" spans="2:20" x14ac:dyDescent="0.25">
      <c r="B18" s="79"/>
      <c r="C18" s="79"/>
      <c r="D18" s="79"/>
      <c r="E18" s="79"/>
      <c r="F18" s="79"/>
      <c r="G18" s="79"/>
      <c r="H18" s="79"/>
      <c r="I18" s="79"/>
      <c r="J18" s="79"/>
      <c r="K18" s="79"/>
      <c r="L18" s="79"/>
      <c r="M18" s="79"/>
      <c r="N18" s="79"/>
      <c r="O18" s="79"/>
      <c r="P18" s="79"/>
      <c r="Q18" s="79"/>
      <c r="R18" s="79"/>
      <c r="S18" s="79"/>
      <c r="T18" s="79"/>
    </row>
    <row r="19" spans="2:20" x14ac:dyDescent="0.25">
      <c r="B19" s="79"/>
      <c r="C19" s="79"/>
      <c r="D19" s="79"/>
      <c r="E19" s="79"/>
      <c r="F19" s="79"/>
      <c r="G19" s="79"/>
      <c r="H19" s="79"/>
      <c r="I19" s="79"/>
      <c r="J19" s="79"/>
      <c r="K19" s="79"/>
      <c r="L19" s="79"/>
      <c r="M19" s="79"/>
      <c r="N19" s="79"/>
      <c r="O19" s="79"/>
      <c r="P19" s="79"/>
      <c r="Q19" s="79"/>
      <c r="R19" s="79"/>
      <c r="S19" s="79"/>
      <c r="T19" s="79"/>
    </row>
  </sheetData>
  <sheetProtection password="9084" sheet="1" objects="1" scenarios="1"/>
  <mergeCells count="6">
    <mergeCell ref="C15:N15"/>
    <mergeCell ref="B5:P5"/>
    <mergeCell ref="C7:N7"/>
    <mergeCell ref="C9:N9"/>
    <mergeCell ref="C11:N11"/>
    <mergeCell ref="C13:N13"/>
  </mergeCells>
  <pageMargins left="0.25" right="0.25"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32"/>
  <sheetViews>
    <sheetView showGridLines="0" zoomScaleNormal="100" zoomScaleSheetLayoutView="80" workbookViewId="0">
      <selection sqref="A1:XFD1048576"/>
    </sheetView>
  </sheetViews>
  <sheetFormatPr defaultColWidth="8.85546875" defaultRowHeight="15" customHeight="1" x14ac:dyDescent="0.25"/>
  <cols>
    <col min="1" max="1" width="1.7109375" style="20" customWidth="1"/>
    <col min="2" max="2" width="6.85546875" style="21" customWidth="1"/>
    <col min="3" max="3" width="25.42578125" style="21" customWidth="1"/>
    <col min="4" max="4" width="0.42578125" style="21" customWidth="1"/>
    <col min="5" max="5" width="1.85546875" style="21" customWidth="1"/>
    <col min="6" max="6" width="2.140625" style="21" customWidth="1"/>
    <col min="7" max="7" width="2.42578125" style="21" customWidth="1"/>
    <col min="8" max="8" width="2.5703125" style="21" customWidth="1"/>
    <col min="9" max="9" width="1.85546875" style="21" customWidth="1"/>
    <col min="10" max="10" width="17" style="21" customWidth="1"/>
    <col min="11" max="11" width="2.28515625" style="21" customWidth="1"/>
    <col min="12" max="12" width="1.85546875" style="21" customWidth="1"/>
    <col min="13" max="13" width="2.140625" style="21" customWidth="1"/>
    <col min="14" max="14" width="24.5703125" style="21" customWidth="1"/>
    <col min="15" max="15" width="0.85546875" style="21" customWidth="1"/>
    <col min="16" max="17" width="8.85546875" style="106" customWidth="1"/>
    <col min="18" max="35" width="2.28515625" style="106" customWidth="1"/>
    <col min="36" max="36" width="0.85546875" style="106" customWidth="1"/>
    <col min="37" max="39" width="2.28515625" style="106" customWidth="1"/>
    <col min="40" max="41" width="4.85546875" style="106" customWidth="1"/>
    <col min="42" max="42" width="4.42578125" style="106" customWidth="1"/>
    <col min="43" max="43" width="4.7109375" style="106" customWidth="1"/>
    <col min="44" max="44" width="4" style="106" customWidth="1"/>
    <col min="45" max="53" width="8.85546875" style="106" customWidth="1"/>
    <col min="54" max="55" width="8.85546875" style="21" customWidth="1"/>
    <col min="56" max="16384" width="8.85546875" style="21"/>
  </cols>
  <sheetData>
    <row r="1" spans="1:53" s="14" customFormat="1" ht="30" customHeight="1" x14ac:dyDescent="0.25"/>
    <row r="2" spans="1:53" s="16" customFormat="1" ht="24.95" customHeight="1" x14ac:dyDescent="0.25"/>
    <row r="3" spans="1:53" s="18" customFormat="1" ht="20.100000000000001" customHeight="1" x14ac:dyDescent="0.25"/>
    <row r="4" spans="1:53" s="63" customFormat="1" ht="23.25" x14ac:dyDescent="0.25">
      <c r="C4" s="103" t="s">
        <v>21</v>
      </c>
      <c r="D4" s="66"/>
      <c r="E4" s="66"/>
      <c r="F4" s="66"/>
      <c r="G4" s="66"/>
      <c r="H4" s="66"/>
      <c r="I4" s="66"/>
      <c r="J4" s="66"/>
      <c r="K4" s="66"/>
      <c r="L4" s="66"/>
      <c r="M4" s="66"/>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row>
    <row r="5" spans="1:53" s="20" customFormat="1" x14ac:dyDescent="0.2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row>
    <row r="6" spans="1:53" ht="42.75" customHeight="1" x14ac:dyDescent="0.25">
      <c r="C6" s="175" t="s">
        <v>121</v>
      </c>
      <c r="D6" s="176"/>
      <c r="E6" s="176"/>
      <c r="F6" s="176"/>
      <c r="G6" s="176"/>
      <c r="H6" s="176"/>
      <c r="I6" s="176"/>
      <c r="J6" s="176"/>
      <c r="K6" s="176"/>
      <c r="L6" s="176"/>
      <c r="M6" s="176"/>
      <c r="N6" s="176"/>
    </row>
    <row r="7" spans="1:53" ht="9.9499999999999993" customHeight="1" x14ac:dyDescent="0.25">
      <c r="C7" s="107"/>
    </row>
    <row r="8" spans="1:53" ht="30" customHeight="1" x14ac:dyDescent="0.25">
      <c r="C8" s="181" t="s">
        <v>36</v>
      </c>
      <c r="D8" s="108"/>
      <c r="E8" s="180" t="str">
        <f>IFERROR(Plan!R16,"")</f>
        <v>Causas relacionadas à Medida</v>
      </c>
      <c r="F8" s="180"/>
      <c r="G8" s="180"/>
      <c r="H8" s="180"/>
      <c r="I8" s="180"/>
      <c r="J8" s="180"/>
      <c r="K8" s="180"/>
      <c r="L8" s="180"/>
      <c r="M8" s="180"/>
      <c r="N8" s="180"/>
      <c r="Q8" s="24" t="s">
        <v>59</v>
      </c>
      <c r="R8" s="24" t="s">
        <v>58</v>
      </c>
      <c r="S8" s="24" t="s">
        <v>60</v>
      </c>
      <c r="T8" s="24"/>
      <c r="U8" s="109"/>
      <c r="V8" s="109"/>
      <c r="W8" s="110"/>
      <c r="X8" s="110"/>
      <c r="Y8" s="110"/>
      <c r="Z8" s="110"/>
      <c r="AA8" s="110"/>
      <c r="AB8" s="110"/>
      <c r="AC8" s="110"/>
      <c r="AD8" s="110"/>
      <c r="AE8" s="110"/>
      <c r="AF8" s="110"/>
      <c r="AG8" s="110"/>
      <c r="AH8" s="110"/>
      <c r="AI8" s="110"/>
      <c r="AJ8" s="110"/>
      <c r="AK8" s="110"/>
    </row>
    <row r="9" spans="1:53" ht="35.1" customHeight="1" x14ac:dyDescent="0.25">
      <c r="C9" s="181"/>
      <c r="D9" s="108"/>
      <c r="E9" s="180"/>
      <c r="F9" s="180"/>
      <c r="G9" s="180"/>
      <c r="H9" s="180"/>
      <c r="I9" s="180"/>
      <c r="J9" s="180"/>
      <c r="K9" s="180"/>
      <c r="L9" s="180"/>
      <c r="M9" s="180"/>
      <c r="N9" s="180"/>
      <c r="Q9" s="24" t="s">
        <v>37</v>
      </c>
      <c r="R9" s="24" t="s">
        <v>61</v>
      </c>
      <c r="S9" s="24" t="s">
        <v>62</v>
      </c>
      <c r="T9" s="24"/>
      <c r="U9" s="109"/>
      <c r="V9" s="109"/>
      <c r="W9" s="110"/>
      <c r="X9" s="110"/>
      <c r="Y9" s="110"/>
      <c r="Z9" s="110"/>
      <c r="AA9" s="110"/>
      <c r="AB9" s="110"/>
      <c r="AC9" s="110"/>
      <c r="AD9" s="110"/>
      <c r="AE9" s="110"/>
      <c r="AF9" s="110"/>
      <c r="AG9" s="110"/>
      <c r="AH9" s="110"/>
      <c r="AI9" s="110"/>
      <c r="AJ9" s="110"/>
      <c r="AK9" s="110"/>
    </row>
    <row r="10" spans="1:53" ht="5.0999999999999996" customHeight="1" x14ac:dyDescent="0.25">
      <c r="C10" s="111"/>
      <c r="D10" s="111"/>
      <c r="E10" s="111"/>
      <c r="F10" s="111"/>
      <c r="G10" s="111"/>
      <c r="H10" s="111"/>
      <c r="I10" s="111"/>
      <c r="J10" s="111"/>
      <c r="K10" s="111"/>
      <c r="L10" s="111"/>
      <c r="M10" s="111"/>
      <c r="Q10" s="112" t="s">
        <v>63</v>
      </c>
      <c r="R10" s="24" t="s">
        <v>38</v>
      </c>
      <c r="S10" s="24" t="s">
        <v>64</v>
      </c>
      <c r="T10" s="24"/>
      <c r="U10" s="27"/>
      <c r="V10" s="27"/>
      <c r="W10" s="105"/>
      <c r="X10" s="105"/>
      <c r="Y10" s="105"/>
      <c r="Z10" s="105"/>
      <c r="AA10" s="105"/>
      <c r="AB10" s="105"/>
      <c r="AC10" s="105"/>
      <c r="AD10" s="105"/>
      <c r="AE10" s="105"/>
      <c r="AF10" s="105"/>
      <c r="AG10" s="105"/>
      <c r="AH10" s="105"/>
      <c r="AI10" s="105"/>
      <c r="AJ10" s="105"/>
      <c r="AK10" s="105"/>
    </row>
    <row r="11" spans="1:53" ht="30" customHeight="1" x14ac:dyDescent="0.25">
      <c r="C11" s="181" t="s">
        <v>35</v>
      </c>
      <c r="D11" s="108"/>
      <c r="E11" s="180" t="str">
        <f>IFERROR(Plan!T16,"")</f>
        <v>Causas relacionadas à Medida</v>
      </c>
      <c r="F11" s="180"/>
      <c r="G11" s="180"/>
      <c r="H11" s="180"/>
      <c r="I11" s="180"/>
      <c r="J11" s="180"/>
      <c r="K11" s="180"/>
      <c r="L11" s="180"/>
      <c r="M11" s="180"/>
      <c r="N11" s="180"/>
      <c r="Q11" s="113"/>
      <c r="R11" s="113"/>
      <c r="S11" s="113"/>
      <c r="T11" s="24"/>
      <c r="U11" s="109"/>
      <c r="V11" s="109"/>
      <c r="W11" s="110"/>
      <c r="X11" s="110"/>
      <c r="Y11" s="110"/>
      <c r="Z11" s="110"/>
      <c r="AA11" s="110"/>
      <c r="AB11" s="110"/>
      <c r="AC11" s="110"/>
      <c r="AD11" s="110"/>
      <c r="AE11" s="110"/>
      <c r="AF11" s="110"/>
      <c r="AG11" s="110"/>
      <c r="AH11" s="110"/>
      <c r="AI11" s="110"/>
      <c r="AJ11" s="110"/>
      <c r="AK11" s="110"/>
    </row>
    <row r="12" spans="1:53" ht="35.1" customHeight="1" x14ac:dyDescent="0.35">
      <c r="C12" s="181"/>
      <c r="D12" s="108"/>
      <c r="E12" s="180"/>
      <c r="F12" s="180"/>
      <c r="G12" s="180"/>
      <c r="H12" s="180"/>
      <c r="I12" s="180"/>
      <c r="J12" s="180"/>
      <c r="K12" s="180"/>
      <c r="L12" s="180"/>
      <c r="M12" s="180"/>
      <c r="N12" s="180"/>
      <c r="Q12" s="24" t="s">
        <v>57</v>
      </c>
      <c r="R12" s="24" t="s">
        <v>39</v>
      </c>
      <c r="S12" s="114"/>
      <c r="T12" s="24"/>
      <c r="U12" s="109"/>
      <c r="V12" s="109"/>
      <c r="W12" s="110"/>
      <c r="X12" s="110"/>
      <c r="Y12" s="110"/>
      <c r="Z12" s="110"/>
      <c r="AA12" s="110"/>
      <c r="AB12" s="110"/>
      <c r="AC12" s="110"/>
      <c r="AD12" s="110"/>
      <c r="AE12" s="110"/>
      <c r="AF12" s="110"/>
      <c r="AG12" s="110"/>
      <c r="AH12" s="110"/>
      <c r="AI12" s="110"/>
      <c r="AJ12" s="110"/>
      <c r="AK12" s="110"/>
    </row>
    <row r="13" spans="1:53" ht="9.9499999999999993" customHeight="1" x14ac:dyDescent="0.25">
      <c r="U13" s="111"/>
      <c r="V13" s="111"/>
      <c r="W13" s="111"/>
      <c r="X13" s="111"/>
      <c r="Y13" s="111"/>
      <c r="Z13" s="111"/>
      <c r="AA13" s="111"/>
      <c r="AB13" s="111"/>
      <c r="AC13" s="111"/>
      <c r="AD13" s="111"/>
      <c r="AE13" s="105"/>
      <c r="AF13" s="105"/>
      <c r="AG13" s="105"/>
      <c r="AH13" s="105"/>
      <c r="AI13" s="105"/>
      <c r="AJ13" s="105"/>
      <c r="AK13" s="105"/>
    </row>
    <row r="14" spans="1:53" ht="51" customHeight="1" x14ac:dyDescent="0.25">
      <c r="C14" s="184" t="s">
        <v>122</v>
      </c>
      <c r="D14" s="184"/>
      <c r="E14" s="184"/>
      <c r="F14" s="184"/>
      <c r="G14" s="184"/>
      <c r="H14" s="184"/>
      <c r="I14" s="184"/>
      <c r="J14" s="184"/>
      <c r="K14" s="184"/>
      <c r="L14" s="184"/>
      <c r="M14" s="184"/>
      <c r="N14" s="184"/>
      <c r="U14" s="110"/>
      <c r="V14" s="110"/>
      <c r="W14" s="110"/>
      <c r="X14" s="110"/>
      <c r="Y14" s="110"/>
      <c r="Z14" s="110"/>
      <c r="AA14" s="110"/>
      <c r="AB14" s="110"/>
      <c r="AC14" s="110"/>
      <c r="AD14" s="110"/>
      <c r="AE14" s="110"/>
      <c r="AF14" s="110"/>
      <c r="AG14" s="110"/>
      <c r="AH14" s="110"/>
      <c r="AI14" s="110"/>
      <c r="AJ14" s="110"/>
      <c r="AK14" s="110"/>
    </row>
    <row r="15" spans="1:53" s="51" customFormat="1" ht="51" customHeight="1" x14ac:dyDescent="0.25">
      <c r="A15" s="48"/>
      <c r="C15" s="184"/>
      <c r="D15" s="184"/>
      <c r="E15" s="184"/>
      <c r="F15" s="184"/>
      <c r="G15" s="184"/>
      <c r="H15" s="184"/>
      <c r="I15" s="184"/>
      <c r="J15" s="184"/>
      <c r="K15" s="184"/>
      <c r="L15" s="184"/>
      <c r="M15" s="184"/>
      <c r="N15" s="184"/>
      <c r="P15" s="115"/>
      <c r="Q15" s="110"/>
      <c r="R15" s="110"/>
      <c r="S15" s="110"/>
      <c r="T15" s="110"/>
      <c r="U15" s="110"/>
      <c r="V15" s="110"/>
      <c r="W15" s="110"/>
      <c r="X15" s="110"/>
      <c r="Y15" s="110"/>
      <c r="Z15" s="110"/>
      <c r="AA15" s="110"/>
      <c r="AB15" s="110"/>
      <c r="AC15" s="110"/>
      <c r="AD15" s="110"/>
      <c r="AE15" s="110"/>
      <c r="AF15" s="110"/>
      <c r="AG15" s="110"/>
      <c r="AH15" s="110"/>
      <c r="AI15" s="110"/>
      <c r="AJ15" s="110"/>
      <c r="AK15" s="110"/>
      <c r="AL15" s="115"/>
      <c r="AM15" s="115"/>
      <c r="AN15" s="115"/>
      <c r="AO15" s="115"/>
      <c r="AP15" s="115"/>
      <c r="AQ15" s="115"/>
      <c r="AR15" s="115"/>
      <c r="AS15" s="115"/>
      <c r="AT15" s="115"/>
      <c r="AU15" s="115"/>
      <c r="AV15" s="115"/>
      <c r="AW15" s="115"/>
      <c r="AX15" s="115"/>
      <c r="AY15" s="115"/>
      <c r="AZ15" s="115"/>
      <c r="BA15" s="115"/>
    </row>
    <row r="16" spans="1:53" ht="5.0999999999999996" customHeight="1" x14ac:dyDescent="0.25">
      <c r="P16" s="111"/>
      <c r="Q16" s="111"/>
      <c r="R16" s="111"/>
      <c r="S16" s="111"/>
      <c r="T16" s="111"/>
      <c r="U16" s="111"/>
      <c r="V16" s="111"/>
      <c r="W16" s="111"/>
      <c r="X16" s="111"/>
      <c r="Y16" s="111"/>
      <c r="Z16" s="111"/>
      <c r="AA16" s="111"/>
      <c r="AB16" s="111"/>
      <c r="AC16" s="111"/>
      <c r="AD16" s="111"/>
      <c r="AJ16" s="111"/>
      <c r="AK16" s="111"/>
    </row>
    <row r="17" spans="1:53" ht="45" customHeight="1" x14ac:dyDescent="0.25">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row>
    <row r="18" spans="1:53" ht="45" customHeight="1" x14ac:dyDescent="0.35">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6"/>
      <c r="AM18" s="116"/>
      <c r="AN18" s="116"/>
      <c r="AO18" s="116"/>
      <c r="AP18" s="116"/>
      <c r="AQ18" s="116"/>
      <c r="AR18" s="116"/>
      <c r="AS18" s="116"/>
    </row>
    <row r="19" spans="1:53" ht="5.0999999999999996" customHeight="1" x14ac:dyDescent="0.35">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row>
    <row r="20" spans="1:53" ht="23.25" x14ac:dyDescent="0.25">
      <c r="C20" s="182">
        <f>Che!K11</f>
        <v>0.4</v>
      </c>
      <c r="E20" s="183" t="s">
        <v>54</v>
      </c>
      <c r="F20" s="183"/>
      <c r="G20" s="183"/>
      <c r="H20" s="183"/>
      <c r="I20" s="183"/>
      <c r="J20" s="183"/>
      <c r="K20" s="183"/>
      <c r="L20" s="183"/>
      <c r="M20" s="183"/>
      <c r="N20" s="183"/>
    </row>
    <row r="21" spans="1:53" ht="65.099999999999994" customHeight="1" x14ac:dyDescent="0.25">
      <c r="C21" s="182"/>
      <c r="D21" s="118"/>
      <c r="E21" s="180" t="str">
        <f>IF(C20="","",IF(C20&gt;=0.85,Q8,IF(C20&lt;=0.4,S8,R8)))</f>
        <v>A maioria dos seus planos de ação não foram executados dentro do prazo. Isso significa que seu planejamento falhou ou você teve problemas na execução. Reveja seu planejamento e verifique os motivos de atraso.</v>
      </c>
      <c r="F21" s="180"/>
      <c r="G21" s="180"/>
      <c r="H21" s="180"/>
      <c r="I21" s="180"/>
      <c r="J21" s="180"/>
      <c r="K21" s="180"/>
      <c r="L21" s="180"/>
      <c r="M21" s="180"/>
      <c r="N21" s="180"/>
    </row>
    <row r="22" spans="1:53" ht="5.0999999999999996" customHeight="1" x14ac:dyDescent="0.25"/>
    <row r="23" spans="1:53" s="120" customFormat="1" ht="23.25" x14ac:dyDescent="0.25">
      <c r="A23" s="119"/>
      <c r="C23" s="182">
        <f>Che!L10</f>
        <v>0.5</v>
      </c>
      <c r="E23" s="183" t="s">
        <v>55</v>
      </c>
      <c r="F23" s="183"/>
      <c r="G23" s="183"/>
      <c r="H23" s="183"/>
      <c r="I23" s="183"/>
      <c r="J23" s="183"/>
      <c r="K23" s="183"/>
      <c r="L23" s="183"/>
      <c r="M23" s="183"/>
      <c r="N23" s="183"/>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row>
    <row r="24" spans="1:53" ht="65.099999999999994" customHeight="1" x14ac:dyDescent="0.25">
      <c r="C24" s="182"/>
      <c r="E24" s="180" t="str">
        <f>IF(C23="","",IF(C23&gt;=0.85,Q9,IF(C23&lt;=0.4,S9,R9)))</f>
        <v>Algumas das suas ações foram executadas da maneira que você planejou. Porém, algumas ações acabaram por não contribuir. Verifique o seu plano de ação.</v>
      </c>
      <c r="F24" s="180"/>
      <c r="G24" s="180"/>
      <c r="H24" s="180"/>
      <c r="I24" s="180"/>
      <c r="J24" s="180"/>
      <c r="K24" s="180"/>
      <c r="L24" s="180"/>
      <c r="M24" s="180"/>
      <c r="N24" s="180"/>
    </row>
    <row r="25" spans="1:53" ht="5.0999999999999996" customHeight="1" x14ac:dyDescent="0.25">
      <c r="E25" s="111"/>
    </row>
    <row r="26" spans="1:53" ht="23.25" x14ac:dyDescent="0.25">
      <c r="C26" s="182">
        <f>Che!M10</f>
        <v>0.5</v>
      </c>
      <c r="E26" s="183" t="s">
        <v>56</v>
      </c>
      <c r="F26" s="183"/>
      <c r="G26" s="183"/>
      <c r="H26" s="183"/>
      <c r="I26" s="183"/>
      <c r="J26" s="183"/>
      <c r="K26" s="183"/>
      <c r="L26" s="183"/>
      <c r="M26" s="183"/>
      <c r="N26" s="183"/>
    </row>
    <row r="27" spans="1:53" ht="65.099999999999994" customHeight="1" x14ac:dyDescent="0.25">
      <c r="C27" s="182"/>
      <c r="E27" s="180" t="str">
        <f>IF(C26="","",IF(C26&gt;=0.85,Q10,IF(C26&lt;=0.4,S10,R10)))</f>
        <v>Algumas de suas ações resolveram causas dos seus problemas. Porém, ainda há algumas causas a serem resolvidas. Reveja seu planejamento.</v>
      </c>
      <c r="F27" s="180"/>
      <c r="G27" s="180"/>
      <c r="H27" s="180"/>
      <c r="I27" s="180"/>
      <c r="J27" s="180"/>
      <c r="K27" s="180"/>
      <c r="L27" s="180"/>
      <c r="M27" s="180"/>
      <c r="N27" s="180"/>
    </row>
    <row r="28" spans="1:53" ht="9.9499999999999993" customHeight="1" x14ac:dyDescent="0.25"/>
    <row r="29" spans="1:53" ht="36.75" customHeight="1" x14ac:dyDescent="0.25">
      <c r="C29" s="177" t="s">
        <v>123</v>
      </c>
      <c r="D29" s="178"/>
      <c r="E29" s="178"/>
      <c r="F29" s="178"/>
      <c r="G29" s="178"/>
      <c r="H29" s="178"/>
      <c r="I29" s="178"/>
      <c r="J29" s="178"/>
      <c r="K29" s="178"/>
      <c r="L29" s="178"/>
      <c r="M29" s="178"/>
      <c r="N29" s="178"/>
    </row>
    <row r="30" spans="1:53" ht="5.0999999999999996" customHeight="1" x14ac:dyDescent="0.25">
      <c r="B30" s="122"/>
      <c r="F30" s="51"/>
      <c r="G30" s="51"/>
      <c r="H30" s="51"/>
      <c r="I30" s="51"/>
      <c r="J30" s="51"/>
      <c r="K30" s="51"/>
      <c r="L30" s="51"/>
      <c r="M30" s="51"/>
      <c r="N30" s="51"/>
      <c r="O30" s="51"/>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row>
    <row r="31" spans="1:53" ht="60" customHeight="1" x14ac:dyDescent="0.25">
      <c r="C31" s="179" t="str">
        <f>IF(Act!E6="","",IF(Act!E6="Sim",Q12,R12))</f>
        <v>Seu problema não foi resolvido. Reinicie o Ciclo e defina novos planos de ação.</v>
      </c>
      <c r="D31" s="179"/>
      <c r="E31" s="179"/>
      <c r="F31" s="179"/>
      <c r="G31" s="179"/>
      <c r="H31" s="179"/>
      <c r="I31" s="179"/>
      <c r="J31" s="179"/>
      <c r="K31" s="179"/>
      <c r="L31" s="179"/>
      <c r="M31" s="179"/>
      <c r="N31" s="179"/>
      <c r="O31" s="179"/>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row>
    <row r="32" spans="1:53" ht="8.1" customHeight="1" x14ac:dyDescent="0.25"/>
  </sheetData>
  <sheetProtection password="9084" sheet="1" objects="1" scenarios="1" selectLockedCells="1"/>
  <mergeCells count="17">
    <mergeCell ref="C14:N15"/>
    <mergeCell ref="C6:N6"/>
    <mergeCell ref="C29:N29"/>
    <mergeCell ref="C31:O31"/>
    <mergeCell ref="E8:N9"/>
    <mergeCell ref="E11:N12"/>
    <mergeCell ref="C8:C9"/>
    <mergeCell ref="C11:C12"/>
    <mergeCell ref="C20:C21"/>
    <mergeCell ref="C23:C24"/>
    <mergeCell ref="C26:C27"/>
    <mergeCell ref="E21:N21"/>
    <mergeCell ref="E20:N20"/>
    <mergeCell ref="E24:N24"/>
    <mergeCell ref="E23:N23"/>
    <mergeCell ref="E27:N27"/>
    <mergeCell ref="E26:N26"/>
  </mergeCells>
  <conditionalFormatting sqref="C20">
    <cfRule type="expression" dxfId="18" priority="32">
      <formula>$C$20&lt;=0.4</formula>
    </cfRule>
  </conditionalFormatting>
  <conditionalFormatting sqref="C20">
    <cfRule type="expression" dxfId="17" priority="31">
      <formula>$C$20&gt;=0.85</formula>
    </cfRule>
  </conditionalFormatting>
  <conditionalFormatting sqref="C23">
    <cfRule type="expression" dxfId="16" priority="10">
      <formula>AND($C$23&lt;0.85,$C$23&gt;0.4)</formula>
    </cfRule>
    <cfRule type="expression" dxfId="15" priority="11">
      <formula>$C$23&lt;=0.4</formula>
    </cfRule>
    <cfRule type="expression" dxfId="14" priority="12">
      <formula>$C$23&gt;=0.85</formula>
    </cfRule>
  </conditionalFormatting>
  <conditionalFormatting sqref="C26">
    <cfRule type="expression" dxfId="13" priority="4">
      <formula>AND($C$26&lt;0.85,$C$26&gt;0.4)</formula>
    </cfRule>
    <cfRule type="expression" dxfId="12" priority="5">
      <formula>$C$26&lt;=0.4</formula>
    </cfRule>
    <cfRule type="expression" dxfId="11" priority="6">
      <formula>$C$26&gt;=0.85</formula>
    </cfRule>
  </conditionalFormatting>
  <conditionalFormatting sqref="D21 C20:D20">
    <cfRule type="expression" dxfId="10" priority="36">
      <formula>AND($C$20&lt;0.85,$C$20&gt;0.4)</formula>
    </cfRule>
  </conditionalFormatting>
  <dataValidations count="1">
    <dataValidation type="list" allowBlank="1" showInputMessage="1" showErrorMessage="1" sqref="P16:AD16">
      <formula1>"Sim, Não"</formula1>
    </dataValidation>
  </dataValidations>
  <pageMargins left="0.23622047244094491" right="0.23622047244094491" top="0.74803149606299213" bottom="0.74803149606299213" header="0.31496062992125984" footer="0.31496062992125984"/>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
  <sheetViews>
    <sheetView showGridLines="0" zoomScaleNormal="100" workbookViewId="0">
      <selection sqref="A1:XFD1048576"/>
    </sheetView>
  </sheetViews>
  <sheetFormatPr defaultColWidth="8.85546875" defaultRowHeight="15" x14ac:dyDescent="0.25"/>
  <cols>
    <col min="1" max="2" width="1.7109375" style="63" customWidth="1"/>
    <col min="3" max="3" width="37.85546875" style="71" bestFit="1" customWidth="1"/>
    <col min="4" max="4" width="0.5703125" style="71" customWidth="1"/>
    <col min="5" max="5" width="1.85546875" style="71" customWidth="1"/>
    <col min="6" max="6" width="2.140625" style="71" customWidth="1"/>
    <col min="7" max="7" width="2.42578125" style="71" customWidth="1"/>
    <col min="8" max="8" width="2.5703125" style="71" customWidth="1"/>
    <col min="9" max="9" width="1.85546875" style="71" customWidth="1"/>
    <col min="10" max="10" width="35.7109375" style="71" customWidth="1"/>
    <col min="11" max="11" width="13.140625" style="71" bestFit="1" customWidth="1"/>
    <col min="12" max="12" width="1.85546875" style="71" customWidth="1"/>
    <col min="13" max="13" width="13.28515625" style="71" bestFit="1" customWidth="1"/>
    <col min="14" max="16" width="8.85546875" style="71" customWidth="1"/>
    <col min="17" max="17" width="2.85546875" style="125" customWidth="1"/>
    <col min="18" max="39" width="9.140625" style="71" customWidth="1"/>
    <col min="40" max="46" width="8.85546875" style="71" customWidth="1"/>
    <col min="47" max="16384" width="8.85546875" style="71"/>
  </cols>
  <sheetData>
    <row r="1" spans="1:36" s="14" customFormat="1" ht="30" customHeight="1" x14ac:dyDescent="0.25"/>
    <row r="2" spans="1:36" s="16" customFormat="1" ht="24.95" customHeight="1" x14ac:dyDescent="0.25"/>
    <row r="3" spans="1:36" s="18" customFormat="1" ht="20.100000000000001" customHeight="1" x14ac:dyDescent="0.25"/>
    <row r="4" spans="1:36" s="63" customFormat="1" ht="23.25" x14ac:dyDescent="0.25">
      <c r="C4" s="123" t="s">
        <v>96</v>
      </c>
      <c r="D4" s="66"/>
      <c r="E4" s="66"/>
      <c r="F4" s="66"/>
      <c r="G4" s="66"/>
      <c r="H4" s="66"/>
      <c r="I4" s="66"/>
      <c r="J4" s="66"/>
      <c r="K4" s="66"/>
      <c r="L4" s="66"/>
      <c r="M4" s="66"/>
      <c r="Q4" s="104"/>
    </row>
    <row r="5" spans="1:36" ht="46.5" x14ac:dyDescent="0.25">
      <c r="C5" s="124"/>
      <c r="D5" s="124"/>
      <c r="E5" s="124"/>
      <c r="F5" s="124"/>
      <c r="G5" s="124"/>
      <c r="H5" s="124"/>
      <c r="I5" s="124"/>
      <c r="J5" s="124"/>
      <c r="K5" s="124"/>
      <c r="L5" s="124"/>
      <c r="M5" s="124"/>
      <c r="N5" s="63"/>
      <c r="O5" s="63"/>
      <c r="P5" s="63"/>
    </row>
    <row r="6" spans="1:36" s="128" customFormat="1" ht="61.5" x14ac:dyDescent="0.25">
      <c r="A6" s="126"/>
      <c r="B6" s="126"/>
      <c r="C6" s="185" t="s">
        <v>120</v>
      </c>
      <c r="D6" s="185"/>
      <c r="E6" s="185"/>
      <c r="F6" s="185"/>
      <c r="G6" s="185"/>
      <c r="H6" s="185"/>
      <c r="I6" s="185"/>
      <c r="J6" s="185"/>
      <c r="K6" s="185"/>
      <c r="L6" s="185"/>
      <c r="M6" s="185"/>
      <c r="N6" s="185"/>
      <c r="O6" s="185"/>
      <c r="P6" s="185"/>
      <c r="Q6" s="127"/>
    </row>
    <row r="7" spans="1:36" s="128" customFormat="1" ht="61.5" x14ac:dyDescent="0.25">
      <c r="A7" s="126"/>
      <c r="B7" s="126"/>
      <c r="C7" s="185"/>
      <c r="D7" s="185"/>
      <c r="E7" s="185"/>
      <c r="F7" s="185"/>
      <c r="G7" s="185"/>
      <c r="H7" s="185"/>
      <c r="I7" s="185"/>
      <c r="J7" s="185"/>
      <c r="K7" s="185"/>
      <c r="L7" s="185"/>
      <c r="M7" s="185"/>
      <c r="N7" s="185"/>
      <c r="O7" s="185"/>
      <c r="P7" s="185"/>
      <c r="Q7" s="127"/>
    </row>
    <row r="8" spans="1:36" ht="46.5" x14ac:dyDescent="0.25">
      <c r="C8" s="199" t="s">
        <v>27</v>
      </c>
      <c r="D8" s="200"/>
      <c r="E8" s="200"/>
      <c r="F8" s="200"/>
      <c r="G8" s="200"/>
      <c r="H8" s="200"/>
      <c r="I8" s="200"/>
      <c r="J8" s="200"/>
      <c r="K8" s="200"/>
      <c r="L8" s="200"/>
      <c r="M8" s="200"/>
      <c r="N8" s="200"/>
      <c r="O8" s="200"/>
      <c r="P8" s="200"/>
    </row>
    <row r="9" spans="1:36" ht="46.5" x14ac:dyDescent="0.25">
      <c r="C9" s="199" t="s">
        <v>28</v>
      </c>
      <c r="D9" s="200"/>
      <c r="E9" s="200"/>
      <c r="F9" s="200"/>
      <c r="G9" s="200"/>
      <c r="H9" s="200"/>
      <c r="I9" s="200"/>
      <c r="J9" s="200"/>
      <c r="K9" s="200"/>
      <c r="L9" s="200"/>
      <c r="M9" s="200"/>
      <c r="N9" s="200"/>
      <c r="O9" s="200"/>
      <c r="P9" s="200"/>
    </row>
    <row r="10" spans="1:36" ht="46.5" x14ac:dyDescent="0.25">
      <c r="C10" s="199" t="s">
        <v>29</v>
      </c>
      <c r="D10" s="200"/>
      <c r="E10" s="200"/>
      <c r="F10" s="200"/>
      <c r="G10" s="200"/>
      <c r="H10" s="200"/>
      <c r="I10" s="200"/>
      <c r="J10" s="200"/>
      <c r="K10" s="200"/>
      <c r="L10" s="200"/>
      <c r="M10" s="200"/>
      <c r="N10" s="200"/>
      <c r="O10" s="200"/>
      <c r="P10" s="200"/>
    </row>
    <row r="11" spans="1:36" ht="46.5" x14ac:dyDescent="0.25">
      <c r="C11" s="199" t="s">
        <v>30</v>
      </c>
      <c r="D11" s="200"/>
      <c r="E11" s="200"/>
      <c r="F11" s="200"/>
      <c r="G11" s="200"/>
      <c r="H11" s="200"/>
      <c r="I11" s="200"/>
      <c r="J11" s="200"/>
      <c r="K11" s="200"/>
      <c r="L11" s="200"/>
      <c r="M11" s="200"/>
      <c r="N11" s="200"/>
      <c r="O11" s="200"/>
      <c r="P11" s="200"/>
      <c r="Q11" s="129"/>
      <c r="R11" s="79"/>
      <c r="S11" s="79"/>
      <c r="T11" s="79"/>
      <c r="U11" s="79"/>
      <c r="V11" s="79"/>
      <c r="W11" s="79"/>
      <c r="X11" s="79"/>
      <c r="Y11" s="79"/>
      <c r="Z11" s="79"/>
      <c r="AA11" s="79"/>
      <c r="AB11" s="79"/>
      <c r="AC11" s="79"/>
      <c r="AD11" s="79"/>
      <c r="AE11" s="79"/>
      <c r="AF11" s="79"/>
      <c r="AG11" s="79"/>
      <c r="AH11" s="79"/>
      <c r="AI11" s="79"/>
      <c r="AJ11" s="79"/>
    </row>
    <row r="12" spans="1:36" x14ac:dyDescent="0.25">
      <c r="C12" s="125"/>
      <c r="D12" s="125"/>
      <c r="E12" s="125"/>
      <c r="F12" s="125"/>
      <c r="G12" s="125"/>
      <c r="H12" s="125"/>
      <c r="I12" s="125"/>
      <c r="J12" s="125"/>
      <c r="K12" s="125"/>
      <c r="L12" s="125"/>
      <c r="M12" s="125"/>
      <c r="N12" s="125"/>
      <c r="O12" s="125"/>
      <c r="P12" s="125"/>
    </row>
    <row r="13" spans="1:36" ht="46.5" x14ac:dyDescent="0.25">
      <c r="C13" s="199" t="s">
        <v>27</v>
      </c>
      <c r="D13" s="200"/>
      <c r="E13" s="200"/>
      <c r="F13" s="200"/>
      <c r="G13" s="200"/>
      <c r="H13" s="200"/>
      <c r="I13" s="200"/>
      <c r="J13" s="200"/>
      <c r="K13" s="200"/>
      <c r="L13" s="200"/>
      <c r="M13" s="200"/>
      <c r="N13" s="200"/>
      <c r="O13" s="200"/>
      <c r="P13" s="200"/>
    </row>
    <row r="14" spans="1:36" ht="46.5" x14ac:dyDescent="0.25">
      <c r="C14" s="130"/>
      <c r="D14" s="130"/>
      <c r="E14" s="130"/>
      <c r="F14" s="130"/>
      <c r="G14" s="130"/>
      <c r="H14" s="130"/>
      <c r="I14" s="130"/>
      <c r="J14" s="130"/>
      <c r="K14" s="130"/>
      <c r="L14" s="130"/>
      <c r="M14" s="130"/>
      <c r="N14" s="130"/>
      <c r="O14" s="130"/>
      <c r="P14" s="130"/>
    </row>
    <row r="15" spans="1:36" ht="46.5" x14ac:dyDescent="0.25">
      <c r="C15" s="201" t="str">
        <f>Plan!C6</f>
        <v xml:space="preserve">Seu Problema </v>
      </c>
      <c r="D15" s="202"/>
      <c r="E15" s="203" t="str">
        <f>IF(Plan!D6="","",Plan!D6)</f>
        <v>Alto Custo de Produção</v>
      </c>
      <c r="F15" s="204"/>
      <c r="G15" s="204"/>
      <c r="H15" s="204"/>
      <c r="I15" s="204"/>
      <c r="J15" s="204"/>
      <c r="K15" s="204"/>
      <c r="L15" s="204"/>
      <c r="M15" s="204"/>
      <c r="N15" s="204"/>
      <c r="O15" s="205"/>
      <c r="P15" s="130"/>
    </row>
    <row r="17" spans="3:16" ht="46.5" x14ac:dyDescent="0.25">
      <c r="C17" s="131" t="s">
        <v>28</v>
      </c>
      <c r="D17" s="130"/>
      <c r="E17" s="130"/>
      <c r="F17" s="130"/>
      <c r="G17" s="130"/>
      <c r="H17" s="130"/>
      <c r="I17" s="130"/>
      <c r="J17" s="130"/>
      <c r="K17" s="130"/>
      <c r="L17" s="130"/>
      <c r="M17" s="130"/>
      <c r="N17" s="130"/>
      <c r="O17" s="130"/>
    </row>
    <row r="19" spans="3:16" ht="31.5" x14ac:dyDescent="0.25">
      <c r="C19" s="132" t="s">
        <v>31</v>
      </c>
      <c r="D19" s="133"/>
      <c r="E19" s="133"/>
      <c r="F19" s="133"/>
      <c r="G19" s="133"/>
      <c r="H19" s="133"/>
      <c r="I19" s="133"/>
      <c r="J19" s="133"/>
      <c r="K19" s="133"/>
      <c r="L19" s="133"/>
      <c r="M19" s="133"/>
      <c r="N19" s="133"/>
      <c r="O19" s="134"/>
    </row>
    <row r="20" spans="3:16" ht="46.5" x14ac:dyDescent="0.25">
      <c r="C20" s="135" t="s">
        <v>9</v>
      </c>
      <c r="D20" s="195"/>
      <c r="E20" s="195"/>
      <c r="F20" s="195"/>
      <c r="G20" s="195"/>
      <c r="H20" s="196" t="s">
        <v>5</v>
      </c>
      <c r="I20" s="196"/>
      <c r="J20" s="196"/>
      <c r="K20" s="136" t="s">
        <v>6</v>
      </c>
      <c r="L20" s="136"/>
      <c r="M20" s="136" t="s">
        <v>7</v>
      </c>
      <c r="N20" s="136" t="s">
        <v>10</v>
      </c>
      <c r="O20" s="137"/>
      <c r="P20" s="130"/>
    </row>
    <row r="21" spans="3:16" ht="60" customHeight="1" x14ac:dyDescent="0.25">
      <c r="C21" s="138" t="str">
        <f>IF(Do!D8="","",Do!D8)</f>
        <v>Excessivo número de ferramentas</v>
      </c>
      <c r="D21" s="189"/>
      <c r="E21" s="189"/>
      <c r="F21" s="189"/>
      <c r="G21" s="189"/>
      <c r="H21" s="190" t="str">
        <f>IF(Do!E8="","",Do!E8)</f>
        <v>Rever necessidade de ferramentas</v>
      </c>
      <c r="I21" s="190"/>
      <c r="J21" s="190"/>
      <c r="K21" s="139" t="str">
        <f>IF(Do!F8="","",Do!F8)</f>
        <v>Leonardo Silva</v>
      </c>
      <c r="L21" s="139"/>
      <c r="M21" s="140">
        <f>IF(Do!G8="","",Do!G8)</f>
        <v>41955</v>
      </c>
      <c r="N21" s="141">
        <f>IF(Do!H8="","",Do!H8)</f>
        <v>15</v>
      </c>
      <c r="O21" s="137"/>
    </row>
    <row r="22" spans="3:16" ht="15.75" x14ac:dyDescent="0.25">
      <c r="C22" s="142" t="s">
        <v>9</v>
      </c>
      <c r="D22" s="191"/>
      <c r="E22" s="191"/>
      <c r="F22" s="191"/>
      <c r="G22" s="191"/>
      <c r="H22" s="192" t="s">
        <v>5</v>
      </c>
      <c r="I22" s="192"/>
      <c r="J22" s="192"/>
      <c r="K22" s="143" t="s">
        <v>6</v>
      </c>
      <c r="L22" s="143"/>
      <c r="M22" s="143" t="s">
        <v>7</v>
      </c>
      <c r="N22" s="143" t="s">
        <v>10</v>
      </c>
      <c r="O22" s="144"/>
    </row>
    <row r="23" spans="3:16" ht="60" customHeight="1" x14ac:dyDescent="0.25">
      <c r="C23" s="145" t="str">
        <f>IF(Do!D9="","",Do!D9)</f>
        <v>Ferramentas muito depreciadas</v>
      </c>
      <c r="D23" s="191"/>
      <c r="E23" s="191"/>
      <c r="F23" s="191"/>
      <c r="G23" s="191"/>
      <c r="H23" s="198" t="str">
        <f>IF(Do!E9="","",Do!E9)</f>
        <v>Comprar ferramentas novas</v>
      </c>
      <c r="I23" s="198"/>
      <c r="J23" s="198"/>
      <c r="K23" s="146" t="str">
        <f>IF(Do!F9="","",Do!F9)</f>
        <v>João Renato</v>
      </c>
      <c r="L23" s="143"/>
      <c r="M23" s="147">
        <f>IF(Do!G9="","",Do!G9)</f>
        <v>41958</v>
      </c>
      <c r="N23" s="148">
        <f>IF(Do!H9="","",Do!H9)</f>
        <v>30</v>
      </c>
      <c r="O23" s="144"/>
      <c r="P23" s="149"/>
    </row>
    <row r="24" spans="3:16" ht="15.75" x14ac:dyDescent="0.25">
      <c r="C24" s="135" t="s">
        <v>9</v>
      </c>
      <c r="D24" s="195"/>
      <c r="E24" s="195"/>
      <c r="F24" s="195"/>
      <c r="G24" s="195"/>
      <c r="H24" s="196" t="s">
        <v>5</v>
      </c>
      <c r="I24" s="196"/>
      <c r="J24" s="196"/>
      <c r="K24" s="136" t="s">
        <v>6</v>
      </c>
      <c r="L24" s="136"/>
      <c r="M24" s="136" t="s">
        <v>7</v>
      </c>
      <c r="N24" s="136" t="s">
        <v>10</v>
      </c>
      <c r="O24" s="137"/>
      <c r="P24" s="149"/>
    </row>
    <row r="25" spans="3:16" ht="60" customHeight="1" x14ac:dyDescent="0.25">
      <c r="C25" s="138" t="str">
        <f>IF(Do!D10="","",Do!D10)</f>
        <v>Modelo inadequado</v>
      </c>
      <c r="D25" s="189"/>
      <c r="E25" s="189"/>
      <c r="F25" s="189"/>
      <c r="G25" s="189"/>
      <c r="H25" s="190" t="str">
        <f>IF(Do!E10="","",Do!E10)</f>
        <v>Rever processo</v>
      </c>
      <c r="I25" s="190"/>
      <c r="J25" s="190"/>
      <c r="K25" s="139" t="str">
        <f>IF(Do!F10="","",Do!F10)</f>
        <v>Carlos Bretz</v>
      </c>
      <c r="L25" s="150"/>
      <c r="M25" s="140">
        <f>IF(Do!G10="","",Do!G10)</f>
        <v>41959</v>
      </c>
      <c r="N25" s="141">
        <f>IF(Do!H10="","",Do!H10)</f>
        <v>18</v>
      </c>
      <c r="O25" s="137"/>
      <c r="P25" s="151"/>
    </row>
    <row r="26" spans="3:16" ht="15.75" x14ac:dyDescent="0.25">
      <c r="C26" s="142" t="s">
        <v>9</v>
      </c>
      <c r="D26" s="191"/>
      <c r="E26" s="191"/>
      <c r="F26" s="191"/>
      <c r="G26" s="191"/>
      <c r="H26" s="192" t="s">
        <v>5</v>
      </c>
      <c r="I26" s="192"/>
      <c r="J26" s="192"/>
      <c r="K26" s="143" t="s">
        <v>6</v>
      </c>
      <c r="L26" s="143"/>
      <c r="M26" s="143" t="s">
        <v>7</v>
      </c>
      <c r="N26" s="143" t="s">
        <v>10</v>
      </c>
      <c r="O26" s="144"/>
      <c r="P26" s="149"/>
    </row>
    <row r="27" spans="3:16" ht="60" customHeight="1" x14ac:dyDescent="0.25">
      <c r="C27" s="145" t="str">
        <f>IF(Do!D11="","",Do!D11)</f>
        <v>Funcionários sem treinamento</v>
      </c>
      <c r="D27" s="197"/>
      <c r="E27" s="197"/>
      <c r="F27" s="197"/>
      <c r="G27" s="197"/>
      <c r="H27" s="198" t="str">
        <f>IF(Do!E11="","",Do!E11)</f>
        <v>Treinar funcionários</v>
      </c>
      <c r="I27" s="198"/>
      <c r="J27" s="198"/>
      <c r="K27" s="146" t="str">
        <f>IF(Do!F11="","",Do!F11)</f>
        <v>Filippo Gomez</v>
      </c>
      <c r="L27" s="152"/>
      <c r="M27" s="147">
        <f>IF(Do!G11="","",Do!G11)</f>
        <v>41959</v>
      </c>
      <c r="N27" s="148">
        <f>IF(Do!H11="","",Do!H11)</f>
        <v>5</v>
      </c>
      <c r="O27" s="144"/>
      <c r="P27" s="149"/>
    </row>
    <row r="28" spans="3:16" ht="15.75" x14ac:dyDescent="0.25">
      <c r="C28" s="135" t="s">
        <v>9</v>
      </c>
      <c r="D28" s="195"/>
      <c r="E28" s="195"/>
      <c r="F28" s="195"/>
      <c r="G28" s="195"/>
      <c r="H28" s="196" t="s">
        <v>5</v>
      </c>
      <c r="I28" s="196"/>
      <c r="J28" s="196"/>
      <c r="K28" s="136" t="s">
        <v>6</v>
      </c>
      <c r="L28" s="136"/>
      <c r="M28" s="136" t="s">
        <v>7</v>
      </c>
      <c r="N28" s="136" t="s">
        <v>10</v>
      </c>
      <c r="O28" s="137"/>
      <c r="P28" s="149"/>
    </row>
    <row r="29" spans="3:16" ht="60" customHeight="1" x14ac:dyDescent="0.25">
      <c r="C29" s="138" t="str">
        <f>IF(Do!D12="","",Do!D12)</f>
        <v>Muitas máquinas paradas</v>
      </c>
      <c r="D29" s="189"/>
      <c r="E29" s="189"/>
      <c r="F29" s="189"/>
      <c r="G29" s="189"/>
      <c r="H29" s="190" t="str">
        <f>IF(Do!E12="","",Do!E12)</f>
        <v>Realizar manutenção das máquinas</v>
      </c>
      <c r="I29" s="190"/>
      <c r="J29" s="190"/>
      <c r="K29" s="139" t="str">
        <f>IF(Do!F12="","",Do!F12)</f>
        <v>Leonardo Silva</v>
      </c>
      <c r="L29" s="150"/>
      <c r="M29" s="140">
        <f>IF(Do!G12="","",Do!G12)</f>
        <v>41959</v>
      </c>
      <c r="N29" s="141">
        <f>IF(Do!H12="","",Do!H12)</f>
        <v>30</v>
      </c>
      <c r="O29" s="137"/>
      <c r="P29" s="149"/>
    </row>
    <row r="30" spans="3:16" ht="15.75" x14ac:dyDescent="0.25">
      <c r="C30" s="142" t="s">
        <v>9</v>
      </c>
      <c r="D30" s="191"/>
      <c r="E30" s="191"/>
      <c r="F30" s="191"/>
      <c r="G30" s="191"/>
      <c r="H30" s="192" t="s">
        <v>5</v>
      </c>
      <c r="I30" s="192"/>
      <c r="J30" s="192"/>
      <c r="K30" s="143" t="s">
        <v>6</v>
      </c>
      <c r="L30" s="143"/>
      <c r="M30" s="143" t="s">
        <v>7</v>
      </c>
      <c r="N30" s="143" t="s">
        <v>10</v>
      </c>
      <c r="O30" s="144"/>
      <c r="P30" s="149"/>
    </row>
    <row r="31" spans="3:16" ht="60" customHeight="1" x14ac:dyDescent="0.25">
      <c r="C31" s="145" t="str">
        <f>IF(Do!D13="","",Do!D13)</f>
        <v/>
      </c>
      <c r="D31" s="197"/>
      <c r="E31" s="197"/>
      <c r="F31" s="197"/>
      <c r="G31" s="197"/>
      <c r="H31" s="198" t="str">
        <f>IF(Do!E13="","",Do!E13)</f>
        <v/>
      </c>
      <c r="I31" s="198"/>
      <c r="J31" s="198"/>
      <c r="K31" s="146" t="str">
        <f>IF(Do!F13="","",Do!F13)</f>
        <v/>
      </c>
      <c r="L31" s="152"/>
      <c r="M31" s="147" t="str">
        <f>IF(Do!G13="","",Do!G13)</f>
        <v/>
      </c>
      <c r="N31" s="148" t="str">
        <f>IF(Do!H13="","",Do!H13)</f>
        <v/>
      </c>
      <c r="O31" s="144"/>
    </row>
    <row r="32" spans="3:16" ht="15.75" x14ac:dyDescent="0.25">
      <c r="C32" s="135" t="s">
        <v>9</v>
      </c>
      <c r="D32" s="195"/>
      <c r="E32" s="195"/>
      <c r="F32" s="195"/>
      <c r="G32" s="195"/>
      <c r="H32" s="196" t="s">
        <v>5</v>
      </c>
      <c r="I32" s="196"/>
      <c r="J32" s="196"/>
      <c r="K32" s="136" t="s">
        <v>6</v>
      </c>
      <c r="L32" s="136"/>
      <c r="M32" s="136" t="s">
        <v>7</v>
      </c>
      <c r="N32" s="136" t="s">
        <v>10</v>
      </c>
      <c r="O32" s="137"/>
    </row>
    <row r="33" spans="1:17" ht="60" customHeight="1" x14ac:dyDescent="0.25">
      <c r="C33" s="138" t="str">
        <f>IF(Do!D14="","",Do!D14)</f>
        <v/>
      </c>
      <c r="D33" s="189"/>
      <c r="E33" s="189"/>
      <c r="F33" s="189"/>
      <c r="G33" s="189"/>
      <c r="H33" s="190" t="str">
        <f>IF(Do!E14="","",Do!E14)</f>
        <v/>
      </c>
      <c r="I33" s="190"/>
      <c r="J33" s="190"/>
      <c r="K33" s="139" t="str">
        <f>IF(Do!F14="","",Do!F14)</f>
        <v/>
      </c>
      <c r="L33" s="150"/>
      <c r="M33" s="140" t="str">
        <f>IF(Do!G14="","",Do!G14)</f>
        <v/>
      </c>
      <c r="N33" s="141" t="str">
        <f>IF(Do!H14="","",Do!H14)</f>
        <v/>
      </c>
      <c r="O33" s="137"/>
      <c r="P33" s="149"/>
    </row>
    <row r="34" spans="1:17" ht="15.75" x14ac:dyDescent="0.25">
      <c r="C34" s="142" t="s">
        <v>9</v>
      </c>
      <c r="D34" s="191"/>
      <c r="E34" s="191"/>
      <c r="F34" s="191"/>
      <c r="G34" s="191"/>
      <c r="H34" s="192" t="s">
        <v>5</v>
      </c>
      <c r="I34" s="192"/>
      <c r="J34" s="192"/>
      <c r="K34" s="143" t="s">
        <v>6</v>
      </c>
      <c r="L34" s="143"/>
      <c r="M34" s="143" t="s">
        <v>7</v>
      </c>
      <c r="N34" s="143" t="s">
        <v>10</v>
      </c>
      <c r="O34" s="144"/>
      <c r="P34" s="149"/>
    </row>
    <row r="35" spans="1:17" ht="60" customHeight="1" x14ac:dyDescent="0.25">
      <c r="C35" s="153" t="str">
        <f>IF(Do!D15="","",Do!D15)</f>
        <v/>
      </c>
      <c r="D35" s="193"/>
      <c r="E35" s="193"/>
      <c r="F35" s="193"/>
      <c r="G35" s="193"/>
      <c r="H35" s="194" t="str">
        <f>IF(Do!E15="","",Do!E15)</f>
        <v/>
      </c>
      <c r="I35" s="194"/>
      <c r="J35" s="194"/>
      <c r="K35" s="154" t="str">
        <f>IF(Do!F15="","",Do!F15)</f>
        <v/>
      </c>
      <c r="L35" s="155"/>
      <c r="M35" s="156" t="str">
        <f>IF(Do!G15="","",Do!G15)</f>
        <v/>
      </c>
      <c r="N35" s="157" t="str">
        <f>IF(Do!H15="","",Do!H15)</f>
        <v/>
      </c>
      <c r="O35" s="158"/>
      <c r="P35" s="149"/>
    </row>
    <row r="36" spans="1:17" x14ac:dyDescent="0.25">
      <c r="C36" s="133"/>
      <c r="P36" s="149"/>
    </row>
    <row r="37" spans="1:17" ht="46.5" x14ac:dyDescent="0.25">
      <c r="C37" s="130" t="s">
        <v>32</v>
      </c>
      <c r="D37" s="130"/>
      <c r="E37" s="130"/>
      <c r="F37" s="130"/>
      <c r="G37" s="130"/>
      <c r="H37" s="130"/>
      <c r="I37" s="130"/>
      <c r="J37" s="130"/>
      <c r="K37" s="130"/>
      <c r="L37" s="130"/>
      <c r="M37" s="130"/>
      <c r="N37" s="130"/>
      <c r="O37" s="130"/>
      <c r="P37" s="149"/>
    </row>
    <row r="38" spans="1:17" s="99" customFormat="1" ht="21" x14ac:dyDescent="0.25">
      <c r="A38" s="100"/>
      <c r="B38" s="100"/>
      <c r="C38" s="107" t="s">
        <v>94</v>
      </c>
      <c r="D38" s="159"/>
      <c r="E38" s="159"/>
      <c r="F38" s="160"/>
      <c r="G38" s="160"/>
      <c r="H38" s="160"/>
      <c r="I38" s="160"/>
      <c r="J38" s="160"/>
      <c r="K38" s="160"/>
      <c r="L38" s="160"/>
      <c r="M38" s="160"/>
      <c r="N38" s="160"/>
      <c r="O38" s="160"/>
      <c r="P38" s="161"/>
      <c r="Q38" s="162"/>
    </row>
    <row r="39" spans="1:17" ht="5.0999999999999996" customHeight="1" x14ac:dyDescent="0.25">
      <c r="C39" s="107"/>
      <c r="D39" s="107"/>
      <c r="E39" s="107"/>
      <c r="F39" s="130"/>
      <c r="G39" s="130"/>
      <c r="H39" s="130"/>
      <c r="I39" s="130"/>
      <c r="J39" s="130"/>
      <c r="K39" s="130"/>
      <c r="L39" s="130"/>
      <c r="M39" s="130"/>
      <c r="N39" s="130"/>
      <c r="O39" s="130"/>
      <c r="P39" s="149"/>
    </row>
    <row r="40" spans="1:17" ht="5.0999999999999996" customHeight="1" x14ac:dyDescent="0.25">
      <c r="C40" s="130"/>
      <c r="D40" s="130"/>
      <c r="E40" s="130"/>
      <c r="F40" s="130"/>
      <c r="G40" s="130"/>
      <c r="H40" s="130"/>
      <c r="I40" s="130"/>
      <c r="J40" s="130"/>
      <c r="K40" s="130"/>
      <c r="L40" s="130"/>
      <c r="M40" s="130"/>
      <c r="N40" s="130"/>
      <c r="O40" s="130"/>
      <c r="P40" s="149"/>
    </row>
    <row r="41" spans="1:17" ht="5.0999999999999996" customHeight="1" x14ac:dyDescent="0.25">
      <c r="C41" s="130"/>
      <c r="D41" s="130"/>
      <c r="E41" s="130"/>
      <c r="F41" s="130"/>
      <c r="G41" s="130"/>
      <c r="H41" s="130"/>
      <c r="I41" s="130"/>
      <c r="J41" s="130"/>
      <c r="K41" s="130"/>
      <c r="L41" s="130"/>
      <c r="M41" s="130"/>
      <c r="N41" s="130"/>
      <c r="O41" s="130"/>
      <c r="P41" s="149"/>
    </row>
    <row r="42" spans="1:17" ht="46.5" x14ac:dyDescent="0.25">
      <c r="C42" s="130"/>
      <c r="D42" s="130"/>
      <c r="E42" s="130"/>
      <c r="F42" s="130"/>
      <c r="G42" s="130"/>
      <c r="H42" s="130"/>
      <c r="I42" s="130"/>
      <c r="J42" s="130"/>
      <c r="K42" s="130"/>
      <c r="L42" s="130"/>
      <c r="M42" s="130"/>
      <c r="N42" s="130"/>
      <c r="O42" s="130"/>
      <c r="P42" s="149"/>
    </row>
    <row r="43" spans="1:17" ht="46.5" x14ac:dyDescent="0.25">
      <c r="C43" s="130"/>
      <c r="D43" s="130"/>
      <c r="E43" s="130"/>
      <c r="F43" s="130"/>
      <c r="G43" s="130"/>
      <c r="H43" s="130"/>
      <c r="I43" s="130"/>
      <c r="J43" s="130"/>
      <c r="K43" s="130"/>
      <c r="L43" s="130"/>
      <c r="M43" s="130"/>
      <c r="N43" s="130"/>
      <c r="O43" s="130"/>
      <c r="P43" s="149"/>
    </row>
    <row r="44" spans="1:17" ht="46.5" x14ac:dyDescent="0.25">
      <c r="C44" s="130"/>
      <c r="D44" s="130"/>
      <c r="E44" s="130"/>
      <c r="F44" s="130"/>
      <c r="G44" s="130"/>
      <c r="H44" s="130"/>
      <c r="I44" s="130"/>
      <c r="J44" s="130"/>
      <c r="K44" s="130"/>
      <c r="L44" s="130"/>
      <c r="M44" s="130"/>
      <c r="N44" s="130"/>
      <c r="O44" s="130"/>
      <c r="P44" s="149"/>
    </row>
    <row r="45" spans="1:17" ht="46.5" x14ac:dyDescent="0.25">
      <c r="C45" s="130"/>
      <c r="D45" s="130"/>
      <c r="E45" s="130"/>
      <c r="F45" s="130"/>
      <c r="G45" s="130"/>
      <c r="H45" s="130"/>
      <c r="I45" s="130"/>
      <c r="J45" s="130"/>
      <c r="K45" s="130"/>
      <c r="L45" s="130"/>
      <c r="M45" s="130"/>
      <c r="N45" s="130"/>
      <c r="O45" s="130"/>
      <c r="P45" s="149"/>
    </row>
    <row r="46" spans="1:17" ht="46.5" x14ac:dyDescent="0.25">
      <c r="C46" s="130"/>
      <c r="D46" s="130"/>
      <c r="E46" s="130"/>
      <c r="F46" s="130"/>
      <c r="G46" s="130"/>
      <c r="H46" s="130"/>
      <c r="I46" s="130"/>
      <c r="J46" s="130"/>
      <c r="K46" s="130"/>
      <c r="L46" s="130"/>
      <c r="M46" s="130"/>
      <c r="N46" s="130"/>
      <c r="O46" s="130"/>
      <c r="P46" s="149"/>
    </row>
    <row r="47" spans="1:17" ht="46.5" x14ac:dyDescent="0.25">
      <c r="C47" s="130"/>
      <c r="D47" s="130"/>
      <c r="E47" s="130"/>
      <c r="F47" s="130"/>
      <c r="G47" s="130"/>
      <c r="H47" s="130"/>
      <c r="I47" s="130"/>
      <c r="J47" s="130"/>
      <c r="K47" s="130"/>
      <c r="L47" s="130"/>
      <c r="M47" s="130"/>
      <c r="N47" s="130"/>
      <c r="O47" s="130"/>
      <c r="P47" s="149"/>
    </row>
    <row r="48" spans="1:17" ht="46.5" x14ac:dyDescent="0.25">
      <c r="C48" s="130"/>
      <c r="D48" s="130"/>
      <c r="E48" s="130"/>
      <c r="F48" s="130"/>
      <c r="G48" s="130"/>
      <c r="H48" s="130"/>
      <c r="I48" s="130"/>
      <c r="J48" s="130"/>
      <c r="K48" s="130"/>
      <c r="L48" s="130"/>
      <c r="M48" s="130"/>
      <c r="N48" s="130"/>
      <c r="O48" s="130"/>
      <c r="P48" s="149"/>
    </row>
    <row r="49" spans="1:17" ht="46.5" x14ac:dyDescent="0.25">
      <c r="C49" s="130"/>
      <c r="D49" s="130"/>
      <c r="E49" s="130"/>
      <c r="F49" s="130"/>
      <c r="G49" s="130"/>
      <c r="H49" s="130"/>
      <c r="I49" s="130"/>
      <c r="J49" s="130"/>
      <c r="K49" s="130"/>
      <c r="L49" s="130"/>
      <c r="M49" s="130"/>
      <c r="N49" s="130"/>
      <c r="O49" s="130"/>
      <c r="P49" s="149"/>
    </row>
    <row r="50" spans="1:17" ht="46.5" x14ac:dyDescent="0.25">
      <c r="C50" s="130"/>
      <c r="D50" s="130"/>
      <c r="E50" s="130"/>
      <c r="F50" s="130"/>
      <c r="G50" s="130"/>
      <c r="H50" s="130"/>
      <c r="I50" s="130"/>
      <c r="J50" s="130"/>
      <c r="K50" s="130"/>
      <c r="L50" s="130"/>
      <c r="M50" s="130"/>
      <c r="N50" s="130"/>
      <c r="O50" s="130"/>
      <c r="P50" s="149"/>
    </row>
    <row r="51" spans="1:17" ht="46.5" x14ac:dyDescent="0.25">
      <c r="C51" s="130"/>
      <c r="D51" s="130"/>
      <c r="E51" s="130"/>
      <c r="F51" s="130"/>
      <c r="G51" s="130"/>
      <c r="H51" s="130"/>
      <c r="I51" s="130"/>
      <c r="J51" s="130"/>
      <c r="K51" s="130"/>
      <c r="L51" s="130"/>
      <c r="M51" s="130"/>
      <c r="N51" s="130"/>
      <c r="O51" s="130"/>
      <c r="P51" s="149"/>
    </row>
    <row r="52" spans="1:17" ht="46.5" x14ac:dyDescent="0.25">
      <c r="C52" s="130"/>
      <c r="D52" s="130"/>
      <c r="E52" s="130"/>
      <c r="F52" s="130"/>
      <c r="G52" s="130"/>
      <c r="H52" s="130"/>
      <c r="I52" s="130"/>
      <c r="J52" s="130"/>
      <c r="K52" s="130"/>
      <c r="L52" s="130"/>
      <c r="M52" s="130"/>
      <c r="N52" s="130"/>
      <c r="O52" s="130"/>
      <c r="P52" s="149"/>
    </row>
    <row r="53" spans="1:17" ht="46.5" x14ac:dyDescent="0.25">
      <c r="C53" s="130"/>
      <c r="D53" s="130"/>
      <c r="E53" s="130"/>
      <c r="F53" s="130"/>
      <c r="G53" s="130"/>
      <c r="H53" s="130"/>
      <c r="I53" s="130"/>
      <c r="J53" s="130"/>
      <c r="K53" s="130"/>
      <c r="L53" s="130"/>
      <c r="M53" s="130"/>
      <c r="N53" s="130"/>
      <c r="O53" s="130"/>
      <c r="P53" s="149"/>
    </row>
    <row r="54" spans="1:17" ht="46.5" x14ac:dyDescent="0.25">
      <c r="C54" s="130"/>
      <c r="D54" s="130"/>
      <c r="E54" s="130"/>
      <c r="F54" s="130"/>
      <c r="G54" s="130"/>
      <c r="H54" s="130"/>
      <c r="I54" s="130"/>
      <c r="J54" s="130"/>
      <c r="K54" s="130"/>
      <c r="L54" s="130"/>
      <c r="M54" s="130"/>
      <c r="N54" s="130"/>
      <c r="O54" s="130"/>
      <c r="P54" s="149"/>
    </row>
    <row r="55" spans="1:17" s="165" customFormat="1" ht="21" x14ac:dyDescent="0.25">
      <c r="A55" s="163"/>
      <c r="B55" s="163"/>
      <c r="C55" s="164" t="s">
        <v>95</v>
      </c>
      <c r="D55" s="159"/>
      <c r="E55" s="159"/>
      <c r="F55" s="160"/>
      <c r="G55" s="160"/>
      <c r="H55" s="160"/>
      <c r="I55" s="160"/>
      <c r="J55" s="160"/>
      <c r="K55" s="160"/>
      <c r="L55" s="160"/>
      <c r="M55" s="160"/>
      <c r="N55" s="160"/>
      <c r="O55" s="160"/>
      <c r="P55" s="161"/>
      <c r="Q55" s="160"/>
    </row>
    <row r="56" spans="1:17" ht="5.0999999999999996" customHeight="1" x14ac:dyDescent="0.25">
      <c r="C56" s="107"/>
      <c r="D56" s="107"/>
      <c r="E56" s="107"/>
      <c r="F56" s="130"/>
      <c r="G56" s="130"/>
      <c r="H56" s="130"/>
      <c r="I56" s="130"/>
      <c r="J56" s="130"/>
      <c r="K56" s="130"/>
      <c r="L56" s="130"/>
      <c r="M56" s="130"/>
      <c r="N56" s="130"/>
      <c r="O56" s="130"/>
      <c r="P56" s="149"/>
    </row>
    <row r="57" spans="1:17" ht="24.95" customHeight="1" x14ac:dyDescent="0.25">
      <c r="C57" s="107"/>
      <c r="D57" s="107"/>
      <c r="E57" s="107"/>
      <c r="F57" s="130"/>
      <c r="G57" s="130"/>
      <c r="H57" s="130"/>
      <c r="I57" s="130"/>
      <c r="J57" s="130"/>
      <c r="K57" s="130"/>
      <c r="L57" s="130"/>
      <c r="M57" s="130"/>
      <c r="N57" s="130"/>
      <c r="O57" s="130"/>
      <c r="P57" s="149"/>
    </row>
    <row r="58" spans="1:17" ht="24.95" customHeight="1" x14ac:dyDescent="0.25">
      <c r="C58" s="130"/>
      <c r="D58" s="130"/>
      <c r="E58" s="130"/>
      <c r="F58" s="130"/>
      <c r="G58" s="130"/>
      <c r="H58" s="130"/>
      <c r="I58" s="130"/>
      <c r="J58" s="130"/>
      <c r="K58" s="130"/>
      <c r="L58" s="130"/>
      <c r="M58" s="130"/>
      <c r="N58" s="130"/>
      <c r="O58" s="130"/>
      <c r="P58" s="149"/>
    </row>
    <row r="59" spans="1:17" ht="24.95" customHeight="1" x14ac:dyDescent="0.25">
      <c r="C59" s="130"/>
      <c r="D59" s="130"/>
      <c r="E59" s="130"/>
      <c r="F59" s="130"/>
      <c r="G59" s="130"/>
      <c r="H59" s="130"/>
      <c r="I59" s="130"/>
      <c r="J59" s="130"/>
      <c r="K59" s="130"/>
      <c r="L59" s="130"/>
      <c r="M59" s="130"/>
      <c r="N59" s="130"/>
      <c r="O59" s="130"/>
      <c r="P59" s="149"/>
    </row>
    <row r="60" spans="1:17" ht="24.95" customHeight="1" x14ac:dyDescent="0.25">
      <c r="C60" s="130"/>
      <c r="D60" s="130"/>
      <c r="E60" s="130"/>
      <c r="F60" s="130"/>
      <c r="G60" s="130"/>
      <c r="H60" s="130"/>
      <c r="I60" s="130"/>
      <c r="J60" s="130"/>
      <c r="K60" s="130"/>
      <c r="L60" s="130"/>
      <c r="M60" s="130"/>
      <c r="N60" s="130"/>
      <c r="O60" s="130"/>
      <c r="P60" s="149"/>
    </row>
    <row r="61" spans="1:17" ht="24.95" customHeight="1" x14ac:dyDescent="0.25">
      <c r="C61" s="130"/>
      <c r="D61" s="130"/>
      <c r="E61" s="130"/>
      <c r="F61" s="130"/>
      <c r="G61" s="130"/>
      <c r="H61" s="130"/>
      <c r="I61" s="130"/>
      <c r="J61" s="130"/>
      <c r="K61" s="130"/>
      <c r="L61" s="130"/>
      <c r="M61" s="130"/>
      <c r="N61" s="130"/>
      <c r="O61" s="130"/>
    </row>
    <row r="62" spans="1:17" ht="24.95" customHeight="1" x14ac:dyDescent="0.25">
      <c r="C62" s="130"/>
      <c r="D62" s="130"/>
      <c r="E62" s="130"/>
      <c r="F62" s="130"/>
      <c r="G62" s="130"/>
      <c r="H62" s="130"/>
      <c r="I62" s="130"/>
      <c r="J62" s="130"/>
      <c r="K62" s="130"/>
      <c r="L62" s="130"/>
      <c r="M62" s="130"/>
      <c r="N62" s="130"/>
      <c r="O62" s="130"/>
    </row>
    <row r="63" spans="1:17" ht="24.95" customHeight="1" x14ac:dyDescent="0.25">
      <c r="C63" s="130"/>
      <c r="D63" s="130"/>
      <c r="E63" s="130"/>
      <c r="F63" s="130"/>
      <c r="G63" s="130"/>
      <c r="H63" s="130"/>
      <c r="I63" s="130"/>
      <c r="J63" s="130"/>
      <c r="K63" s="130"/>
      <c r="L63" s="130"/>
      <c r="M63" s="130"/>
      <c r="N63" s="130"/>
      <c r="O63" s="130"/>
    </row>
    <row r="64" spans="1:17" ht="24.95" customHeight="1" x14ac:dyDescent="0.25">
      <c r="C64" s="130"/>
      <c r="D64" s="130"/>
      <c r="E64" s="130"/>
      <c r="F64" s="130"/>
      <c r="G64" s="130"/>
      <c r="H64" s="130"/>
      <c r="I64" s="130"/>
      <c r="J64" s="130"/>
      <c r="K64" s="130"/>
      <c r="L64" s="130"/>
      <c r="M64" s="130"/>
      <c r="N64" s="130"/>
      <c r="O64" s="130"/>
    </row>
    <row r="65" spans="3:16" ht="24.95" customHeight="1" x14ac:dyDescent="0.25">
      <c r="C65" s="130"/>
      <c r="D65" s="130"/>
      <c r="E65" s="130"/>
      <c r="F65" s="130"/>
      <c r="G65" s="130"/>
      <c r="H65" s="130"/>
      <c r="I65" s="130"/>
      <c r="J65" s="130"/>
      <c r="K65" s="130"/>
      <c r="L65" s="130"/>
      <c r="M65" s="130"/>
      <c r="N65" s="130"/>
      <c r="O65" s="130"/>
    </row>
    <row r="66" spans="3:16" ht="46.5" x14ac:dyDescent="0.25">
      <c r="C66" s="130" t="s">
        <v>33</v>
      </c>
    </row>
    <row r="67" spans="3:16" ht="5.0999999999999996" customHeight="1" x14ac:dyDescent="0.25"/>
    <row r="68" spans="3:16" ht="21" x14ac:dyDescent="0.25">
      <c r="C68" s="164" t="s">
        <v>51</v>
      </c>
      <c r="D68" s="21"/>
      <c r="E68" s="21"/>
      <c r="F68" s="21"/>
      <c r="G68" s="21"/>
      <c r="H68" s="21"/>
      <c r="I68" s="21"/>
      <c r="J68" s="21"/>
      <c r="K68" s="21"/>
      <c r="L68" s="21"/>
      <c r="M68" s="21"/>
      <c r="N68" s="21"/>
      <c r="O68" s="21"/>
    </row>
    <row r="69" spans="3:16" ht="21" x14ac:dyDescent="0.25">
      <c r="C69" s="107"/>
      <c r="D69" s="21"/>
      <c r="E69" s="21"/>
      <c r="F69" s="21"/>
      <c r="G69" s="21"/>
      <c r="H69" s="21"/>
      <c r="I69" s="21"/>
      <c r="J69" s="21"/>
      <c r="K69" s="21"/>
      <c r="L69" s="21"/>
      <c r="M69" s="21"/>
      <c r="N69" s="21"/>
      <c r="O69" s="21"/>
    </row>
    <row r="70" spans="3:16" ht="24.95" customHeight="1" x14ac:dyDescent="0.25">
      <c r="C70" s="187" t="s">
        <v>36</v>
      </c>
      <c r="D70" s="108"/>
      <c r="E70" s="180" t="str">
        <f>IFERROR(Plan!R16,"")</f>
        <v>Causas relacionadas à Medida</v>
      </c>
      <c r="F70" s="180"/>
      <c r="G70" s="180"/>
      <c r="H70" s="180"/>
      <c r="I70" s="180"/>
      <c r="J70" s="180"/>
      <c r="K70" s="180"/>
      <c r="L70" s="180"/>
      <c r="M70" s="180"/>
      <c r="N70" s="180"/>
      <c r="O70" s="166"/>
      <c r="P70" s="166"/>
    </row>
    <row r="71" spans="3:16" ht="24.95" customHeight="1" x14ac:dyDescent="0.25">
      <c r="C71" s="187"/>
      <c r="D71" s="108"/>
      <c r="E71" s="180"/>
      <c r="F71" s="180"/>
      <c r="G71" s="180"/>
      <c r="H71" s="180"/>
      <c r="I71" s="180"/>
      <c r="J71" s="180"/>
      <c r="K71" s="180"/>
      <c r="L71" s="180"/>
      <c r="M71" s="180"/>
      <c r="N71" s="180"/>
      <c r="O71" s="166"/>
      <c r="P71" s="166"/>
    </row>
    <row r="72" spans="3:16" ht="18.75" x14ac:dyDescent="0.25">
      <c r="C72" s="167"/>
      <c r="D72" s="111"/>
      <c r="E72" s="111"/>
      <c r="F72" s="111"/>
      <c r="G72" s="111"/>
      <c r="H72" s="111"/>
      <c r="I72" s="111"/>
      <c r="J72" s="111"/>
      <c r="K72" s="111"/>
      <c r="L72" s="111"/>
      <c r="M72" s="111"/>
      <c r="N72" s="21"/>
      <c r="O72" s="20"/>
      <c r="P72" s="63"/>
    </row>
    <row r="73" spans="3:16" ht="24.95" customHeight="1" x14ac:dyDescent="0.25">
      <c r="C73" s="187" t="s">
        <v>35</v>
      </c>
      <c r="D73" s="108"/>
      <c r="E73" s="180" t="str">
        <f>IFERROR(Plan!T16,"")</f>
        <v>Causas relacionadas à Medida</v>
      </c>
      <c r="F73" s="180"/>
      <c r="G73" s="180"/>
      <c r="H73" s="180"/>
      <c r="I73" s="180"/>
      <c r="J73" s="180"/>
      <c r="K73" s="180"/>
      <c r="L73" s="180"/>
      <c r="M73" s="180"/>
      <c r="N73" s="180"/>
      <c r="O73" s="166"/>
      <c r="P73" s="166"/>
    </row>
    <row r="74" spans="3:16" ht="24.95" customHeight="1" x14ac:dyDescent="0.25">
      <c r="C74" s="187"/>
      <c r="D74" s="108"/>
      <c r="E74" s="180"/>
      <c r="F74" s="180"/>
      <c r="G74" s="180"/>
      <c r="H74" s="180"/>
      <c r="I74" s="180"/>
      <c r="J74" s="180"/>
      <c r="K74" s="180"/>
      <c r="L74" s="180"/>
      <c r="M74" s="180"/>
      <c r="N74" s="180"/>
      <c r="O74" s="166"/>
      <c r="P74" s="166"/>
    </row>
    <row r="75" spans="3:16" x14ac:dyDescent="0.25">
      <c r="C75" s="21"/>
      <c r="D75" s="21"/>
      <c r="E75" s="21"/>
      <c r="F75" s="21"/>
      <c r="G75" s="21"/>
      <c r="H75" s="21"/>
      <c r="I75" s="21"/>
      <c r="J75" s="21"/>
      <c r="K75" s="21"/>
      <c r="L75" s="21"/>
      <c r="M75" s="21"/>
      <c r="N75" s="21"/>
      <c r="O75" s="21"/>
    </row>
    <row r="76" spans="3:16" ht="21" x14ac:dyDescent="0.25">
      <c r="C76" s="164" t="s">
        <v>52</v>
      </c>
      <c r="D76" s="21"/>
      <c r="E76" s="21"/>
      <c r="F76" s="21"/>
      <c r="G76" s="21"/>
      <c r="H76" s="21"/>
      <c r="I76" s="21"/>
      <c r="J76" s="21"/>
      <c r="K76" s="21"/>
      <c r="L76" s="21"/>
      <c r="M76" s="21"/>
      <c r="N76" s="21"/>
      <c r="O76" s="21"/>
    </row>
    <row r="77" spans="3:16" x14ac:dyDescent="0.25">
      <c r="C77" s="51"/>
      <c r="D77" s="51"/>
      <c r="E77" s="51"/>
      <c r="F77" s="51"/>
      <c r="G77" s="51"/>
      <c r="H77" s="51"/>
      <c r="I77" s="51"/>
      <c r="J77" s="51"/>
      <c r="K77" s="51"/>
      <c r="L77" s="51"/>
      <c r="M77" s="51"/>
      <c r="N77" s="51"/>
      <c r="O77" s="51"/>
    </row>
    <row r="78" spans="3:16" x14ac:dyDescent="0.25">
      <c r="C78" s="21"/>
      <c r="D78" s="21"/>
      <c r="E78" s="21"/>
      <c r="F78" s="21"/>
      <c r="G78" s="21"/>
      <c r="H78" s="21"/>
      <c r="I78" s="21"/>
      <c r="J78" s="21"/>
      <c r="K78" s="21"/>
      <c r="L78" s="21"/>
      <c r="M78" s="21"/>
      <c r="N78" s="21"/>
      <c r="O78" s="21"/>
    </row>
    <row r="79" spans="3:16" ht="21" x14ac:dyDescent="0.25">
      <c r="C79" s="21"/>
      <c r="D79" s="21"/>
      <c r="E79" s="21"/>
      <c r="F79" s="21"/>
      <c r="G79" s="21"/>
      <c r="H79" s="21"/>
      <c r="I79" s="21"/>
      <c r="J79" s="21"/>
      <c r="K79" s="21"/>
      <c r="L79" s="21"/>
      <c r="M79" s="21"/>
      <c r="N79" s="21"/>
      <c r="O79" s="116"/>
    </row>
    <row r="80" spans="3:16" ht="24.95" customHeight="1" x14ac:dyDescent="0.35">
      <c r="C80" s="21"/>
      <c r="D80" s="21"/>
      <c r="E80" s="21"/>
      <c r="F80" s="117"/>
      <c r="G80" s="117"/>
      <c r="H80" s="117"/>
      <c r="I80" s="117"/>
      <c r="J80" s="117"/>
      <c r="K80" s="117"/>
      <c r="L80" s="117"/>
      <c r="M80" s="117"/>
      <c r="N80" s="117"/>
      <c r="O80" s="117"/>
    </row>
    <row r="81" spans="3:15" ht="24.95" customHeight="1" x14ac:dyDescent="0.35">
      <c r="C81" s="21"/>
      <c r="D81" s="21"/>
      <c r="E81" s="21"/>
      <c r="F81" s="117"/>
      <c r="G81" s="117"/>
      <c r="H81" s="117"/>
      <c r="I81" s="117"/>
      <c r="J81" s="117"/>
      <c r="K81" s="117"/>
      <c r="L81" s="117"/>
      <c r="M81" s="117"/>
      <c r="N81" s="117"/>
      <c r="O81" s="117"/>
    </row>
    <row r="82" spans="3:15" ht="5.0999999999999996" customHeight="1" x14ac:dyDescent="0.25"/>
    <row r="83" spans="3:15" ht="5.0999999999999996" customHeight="1" x14ac:dyDescent="0.25"/>
    <row r="84" spans="3:15" ht="50.1" customHeight="1" x14ac:dyDescent="0.25">
      <c r="C84" s="182">
        <f>Che!K11</f>
        <v>0.4</v>
      </c>
      <c r="D84" s="21"/>
      <c r="E84" s="183" t="s">
        <v>54</v>
      </c>
      <c r="F84" s="183"/>
      <c r="G84" s="183"/>
      <c r="H84" s="183"/>
      <c r="I84" s="183"/>
      <c r="J84" s="183"/>
      <c r="K84" s="183"/>
      <c r="L84" s="183"/>
      <c r="M84" s="183"/>
      <c r="N84" s="183"/>
      <c r="O84" s="21"/>
    </row>
    <row r="85" spans="3:15" ht="50.1" customHeight="1" x14ac:dyDescent="0.25">
      <c r="C85" s="182"/>
      <c r="D85" s="118"/>
      <c r="E85" s="180" t="str">
        <f>Ale!E21</f>
        <v>A maioria dos seus planos de ação não foram executados dentro do prazo. Isso significa que seu planejamento falhou ou você teve problemas na execução. Reveja seu planejamento e verifique os motivos de atraso.</v>
      </c>
      <c r="F85" s="180"/>
      <c r="G85" s="180"/>
      <c r="H85" s="180"/>
      <c r="I85" s="180"/>
      <c r="J85" s="180"/>
      <c r="K85" s="180"/>
      <c r="L85" s="180"/>
      <c r="M85" s="180"/>
      <c r="N85" s="180"/>
      <c r="O85" s="21"/>
    </row>
    <row r="86" spans="3:15" x14ac:dyDescent="0.25">
      <c r="C86" s="21"/>
      <c r="D86" s="21"/>
      <c r="E86" s="21"/>
      <c r="F86" s="21"/>
      <c r="G86" s="21"/>
      <c r="H86" s="21"/>
      <c r="I86" s="21"/>
      <c r="J86" s="21"/>
      <c r="K86" s="21"/>
      <c r="L86" s="21"/>
      <c r="M86" s="21"/>
      <c r="N86" s="21"/>
      <c r="O86" s="21"/>
    </row>
    <row r="87" spans="3:15" ht="50.1" customHeight="1" x14ac:dyDescent="0.25">
      <c r="C87" s="182">
        <f>Che!L10</f>
        <v>0.5</v>
      </c>
      <c r="D87" s="120"/>
      <c r="E87" s="183" t="s">
        <v>55</v>
      </c>
      <c r="F87" s="183"/>
      <c r="G87" s="183"/>
      <c r="H87" s="183"/>
      <c r="I87" s="183"/>
      <c r="J87" s="183"/>
      <c r="K87" s="183"/>
      <c r="L87" s="183"/>
      <c r="M87" s="183"/>
      <c r="N87" s="183"/>
      <c r="O87" s="120"/>
    </row>
    <row r="88" spans="3:15" ht="50.1" customHeight="1" x14ac:dyDescent="0.25">
      <c r="C88" s="182"/>
      <c r="D88" s="21"/>
      <c r="E88" s="188" t="str">
        <f>Ale!E24</f>
        <v>Algumas das suas ações foram executadas da maneira que você planejou. Porém, algumas ações acabaram por não contribuir. Verifique o seu plano de ação.</v>
      </c>
      <c r="F88" s="188"/>
      <c r="G88" s="188"/>
      <c r="H88" s="188"/>
      <c r="I88" s="188"/>
      <c r="J88" s="188"/>
      <c r="K88" s="188"/>
      <c r="L88" s="188"/>
      <c r="M88" s="188"/>
      <c r="N88" s="188"/>
      <c r="O88" s="21"/>
    </row>
    <row r="89" spans="3:15" ht="18.75" x14ac:dyDescent="0.25">
      <c r="C89" s="21"/>
      <c r="D89" s="21"/>
      <c r="E89" s="111"/>
      <c r="F89" s="21"/>
      <c r="G89" s="21"/>
      <c r="H89" s="21"/>
      <c r="I89" s="21"/>
      <c r="J89" s="21"/>
      <c r="K89" s="21"/>
      <c r="L89" s="21"/>
      <c r="M89" s="21"/>
      <c r="N89" s="21"/>
      <c r="O89" s="21"/>
    </row>
    <row r="90" spans="3:15" ht="50.1" customHeight="1" x14ac:dyDescent="0.25">
      <c r="C90" s="182">
        <f>Che!M10</f>
        <v>0.5</v>
      </c>
      <c r="D90" s="21"/>
      <c r="E90" s="183" t="s">
        <v>56</v>
      </c>
      <c r="F90" s="183"/>
      <c r="G90" s="183"/>
      <c r="H90" s="183"/>
      <c r="I90" s="183"/>
      <c r="J90" s="183"/>
      <c r="K90" s="183"/>
      <c r="L90" s="183"/>
      <c r="M90" s="183"/>
      <c r="N90" s="183"/>
      <c r="O90" s="21"/>
    </row>
    <row r="91" spans="3:15" ht="50.1" customHeight="1" x14ac:dyDescent="0.25">
      <c r="C91" s="182"/>
      <c r="D91" s="21"/>
      <c r="E91" s="188" t="str">
        <f>Ale!E27</f>
        <v>Algumas de suas ações resolveram causas dos seus problemas. Porém, ainda há algumas causas a serem resolvidas. Reveja seu planejamento.</v>
      </c>
      <c r="F91" s="188"/>
      <c r="G91" s="188"/>
      <c r="H91" s="188"/>
      <c r="I91" s="188"/>
      <c r="J91" s="188"/>
      <c r="K91" s="188"/>
      <c r="L91" s="188"/>
      <c r="M91" s="188"/>
      <c r="N91" s="188"/>
      <c r="O91" s="21"/>
    </row>
    <row r="92" spans="3:15" x14ac:dyDescent="0.25">
      <c r="C92" s="21"/>
      <c r="D92" s="21"/>
      <c r="E92" s="21"/>
      <c r="F92" s="21"/>
      <c r="G92" s="21"/>
      <c r="H92" s="21"/>
      <c r="I92" s="21"/>
      <c r="J92" s="21"/>
      <c r="K92" s="21"/>
      <c r="L92" s="21"/>
      <c r="M92" s="21"/>
      <c r="N92" s="21"/>
      <c r="O92" s="21"/>
    </row>
    <row r="93" spans="3:15" ht="21" x14ac:dyDescent="0.25">
      <c r="C93" s="164" t="s">
        <v>53</v>
      </c>
      <c r="D93" s="21"/>
      <c r="E93" s="21"/>
      <c r="F93" s="21"/>
      <c r="G93" s="21"/>
      <c r="H93" s="21"/>
      <c r="I93" s="21"/>
      <c r="J93" s="21"/>
      <c r="K93" s="21"/>
      <c r="L93" s="21"/>
      <c r="M93" s="21"/>
      <c r="N93" s="21"/>
      <c r="O93" s="21"/>
    </row>
    <row r="94" spans="3:15" x14ac:dyDescent="0.25">
      <c r="C94" s="21"/>
      <c r="D94" s="21"/>
      <c r="E94" s="21"/>
      <c r="F94" s="51"/>
      <c r="G94" s="51"/>
      <c r="H94" s="51"/>
      <c r="I94" s="51"/>
      <c r="J94" s="51"/>
      <c r="K94" s="51"/>
      <c r="L94" s="51"/>
      <c r="M94" s="51"/>
      <c r="N94" s="51"/>
      <c r="O94" s="51"/>
    </row>
    <row r="95" spans="3:15" ht="60" customHeight="1" x14ac:dyDescent="0.25">
      <c r="C95" s="186" t="str">
        <f>Ale!C31</f>
        <v>Seu problema não foi resolvido. Reinicie o Ciclo e defina novos planos de ação.</v>
      </c>
      <c r="D95" s="186"/>
      <c r="E95" s="186"/>
      <c r="F95" s="186"/>
      <c r="G95" s="186"/>
      <c r="H95" s="186"/>
      <c r="I95" s="186"/>
      <c r="J95" s="186"/>
      <c r="K95" s="186"/>
      <c r="L95" s="186"/>
      <c r="M95" s="186"/>
      <c r="N95" s="186"/>
      <c r="O95" s="168"/>
    </row>
    <row r="98" spans="1:37" s="79" customFormat="1" x14ac:dyDescent="0.25">
      <c r="A98" s="78"/>
      <c r="B98" s="78"/>
      <c r="C98" s="71"/>
      <c r="D98" s="71"/>
      <c r="E98" s="71"/>
      <c r="F98" s="71"/>
      <c r="G98" s="71"/>
      <c r="H98" s="71"/>
      <c r="I98" s="71"/>
      <c r="J98" s="71"/>
      <c r="K98" s="71"/>
      <c r="L98" s="71"/>
      <c r="M98" s="71"/>
      <c r="N98" s="71"/>
      <c r="O98" s="71"/>
      <c r="Q98" s="129"/>
    </row>
    <row r="99" spans="1:37" s="79" customFormat="1" x14ac:dyDescent="0.25">
      <c r="A99" s="78"/>
      <c r="B99" s="78"/>
      <c r="C99" s="71"/>
      <c r="D99" s="71"/>
      <c r="E99" s="71"/>
      <c r="F99" s="71"/>
      <c r="G99" s="71"/>
      <c r="H99" s="71"/>
      <c r="I99" s="71"/>
      <c r="J99" s="71"/>
      <c r="K99" s="71"/>
      <c r="L99" s="71"/>
      <c r="M99" s="71"/>
      <c r="N99" s="71"/>
      <c r="O99" s="71"/>
      <c r="Q99" s="129"/>
    </row>
    <row r="102" spans="1:37" x14ac:dyDescent="0.25">
      <c r="D102" s="79"/>
      <c r="E102" s="79"/>
      <c r="F102" s="79"/>
      <c r="G102" s="79"/>
      <c r="H102" s="79"/>
      <c r="I102" s="79"/>
      <c r="J102" s="79"/>
      <c r="K102" s="79"/>
      <c r="L102" s="79"/>
      <c r="M102" s="79"/>
      <c r="N102" s="79"/>
      <c r="O102" s="79"/>
    </row>
    <row r="103" spans="1:37" x14ac:dyDescent="0.25">
      <c r="D103" s="79"/>
      <c r="E103" s="79"/>
      <c r="F103" s="79"/>
      <c r="G103" s="79"/>
      <c r="H103" s="79"/>
      <c r="I103" s="79"/>
      <c r="J103" s="79"/>
      <c r="K103" s="79"/>
      <c r="L103" s="79"/>
      <c r="M103" s="79"/>
      <c r="N103" s="79"/>
      <c r="O103" s="79"/>
    </row>
    <row r="105" spans="1:37" s="63" customFormat="1" x14ac:dyDescent="0.25">
      <c r="C105" s="71"/>
      <c r="D105" s="71"/>
      <c r="E105" s="71"/>
      <c r="F105" s="71"/>
      <c r="G105" s="71"/>
      <c r="H105" s="71"/>
      <c r="I105" s="71"/>
      <c r="J105" s="71"/>
      <c r="K105" s="71"/>
      <c r="L105" s="71"/>
      <c r="M105" s="71"/>
      <c r="N105" s="71"/>
      <c r="O105" s="71"/>
      <c r="Q105" s="104"/>
    </row>
    <row r="106" spans="1:37" s="63" customFormat="1" x14ac:dyDescent="0.25">
      <c r="C106" s="71"/>
      <c r="D106" s="71"/>
      <c r="E106" s="71"/>
      <c r="F106" s="71"/>
      <c r="G106" s="71"/>
      <c r="H106" s="71"/>
      <c r="I106" s="71"/>
      <c r="J106" s="71"/>
      <c r="K106" s="71"/>
      <c r="L106" s="71"/>
      <c r="M106" s="71"/>
      <c r="N106" s="71"/>
      <c r="O106" s="71"/>
      <c r="Q106" s="104"/>
    </row>
    <row r="107" spans="1:37" s="63" customFormat="1" x14ac:dyDescent="0.25">
      <c r="C107" s="71"/>
      <c r="D107" s="71"/>
      <c r="E107" s="71"/>
      <c r="F107" s="71"/>
      <c r="G107" s="71"/>
      <c r="H107" s="71"/>
      <c r="I107" s="71"/>
      <c r="J107" s="71"/>
      <c r="K107" s="71"/>
      <c r="L107" s="71"/>
      <c r="M107" s="71"/>
      <c r="N107" s="71"/>
      <c r="O107" s="71"/>
      <c r="Q107" s="104"/>
    </row>
    <row r="108" spans="1:37" s="63" customFormat="1" x14ac:dyDescent="0.25">
      <c r="C108" s="71"/>
      <c r="D108" s="71"/>
      <c r="E108" s="71"/>
      <c r="F108" s="71"/>
      <c r="G108" s="71"/>
      <c r="H108" s="71"/>
      <c r="I108" s="71"/>
      <c r="J108" s="71"/>
      <c r="K108" s="71"/>
      <c r="L108" s="71"/>
      <c r="M108" s="71"/>
      <c r="N108" s="71"/>
      <c r="O108" s="71"/>
      <c r="Q108" s="104"/>
    </row>
    <row r="109" spans="1:37" s="63" customFormat="1" x14ac:dyDescent="0.25">
      <c r="C109" s="71"/>
      <c r="Q109" s="104"/>
    </row>
    <row r="110" spans="1:37" s="63" customFormat="1" x14ac:dyDescent="0.25">
      <c r="C110" s="71"/>
      <c r="Q110" s="104"/>
    </row>
    <row r="111" spans="1:37" s="63" customFormat="1" x14ac:dyDescent="0.25">
      <c r="C111" s="71"/>
      <c r="P111" s="71"/>
      <c r="Q111" s="125"/>
      <c r="R111" s="71"/>
      <c r="S111" s="71"/>
      <c r="T111" s="71"/>
      <c r="U111" s="71"/>
      <c r="V111" s="71"/>
      <c r="W111" s="71"/>
      <c r="X111" s="71"/>
      <c r="Y111" s="71"/>
      <c r="Z111" s="71"/>
      <c r="AA111" s="71"/>
      <c r="AB111" s="71"/>
      <c r="AC111" s="71"/>
      <c r="AD111" s="71"/>
      <c r="AE111" s="71"/>
      <c r="AF111" s="71"/>
      <c r="AG111" s="71"/>
      <c r="AH111" s="71"/>
      <c r="AI111" s="71"/>
      <c r="AJ111" s="71"/>
      <c r="AK111" s="71"/>
    </row>
    <row r="112" spans="1:37" x14ac:dyDescent="0.25">
      <c r="D112" s="63"/>
      <c r="E112" s="63"/>
      <c r="F112" s="63"/>
      <c r="G112" s="63"/>
      <c r="H112" s="63"/>
      <c r="I112" s="63"/>
      <c r="J112" s="63"/>
      <c r="K112" s="63"/>
      <c r="L112" s="63"/>
      <c r="M112" s="63"/>
      <c r="N112" s="63"/>
      <c r="O112" s="63"/>
    </row>
    <row r="113" spans="4:15" x14ac:dyDescent="0.25">
      <c r="D113" s="63"/>
      <c r="E113" s="63"/>
      <c r="F113" s="63"/>
      <c r="G113" s="63"/>
      <c r="H113" s="63"/>
      <c r="I113" s="63"/>
      <c r="J113" s="63"/>
      <c r="K113" s="63"/>
      <c r="L113" s="63"/>
      <c r="M113" s="63"/>
      <c r="N113" s="63"/>
      <c r="O113" s="63"/>
    </row>
    <row r="114" spans="4:15" x14ac:dyDescent="0.25">
      <c r="D114" s="63"/>
      <c r="E114" s="63"/>
      <c r="F114" s="63"/>
      <c r="G114" s="63"/>
      <c r="H114" s="63"/>
      <c r="I114" s="63"/>
      <c r="J114" s="63"/>
      <c r="K114" s="63"/>
      <c r="L114" s="63"/>
      <c r="M114" s="63"/>
      <c r="N114" s="63"/>
      <c r="O114" s="63"/>
    </row>
  </sheetData>
  <sheetProtection password="9084" sheet="1" objects="1" scenarios="1" selectLockedCells="1"/>
  <mergeCells count="54">
    <mergeCell ref="H21:J21"/>
    <mergeCell ref="D26:G26"/>
    <mergeCell ref="H26:J26"/>
    <mergeCell ref="D24:G24"/>
    <mergeCell ref="H24:J24"/>
    <mergeCell ref="D25:G25"/>
    <mergeCell ref="H25:J25"/>
    <mergeCell ref="D27:G27"/>
    <mergeCell ref="H27:J27"/>
    <mergeCell ref="D22:G22"/>
    <mergeCell ref="H22:J22"/>
    <mergeCell ref="C8:P8"/>
    <mergeCell ref="C9:P9"/>
    <mergeCell ref="C10:P10"/>
    <mergeCell ref="C11:P11"/>
    <mergeCell ref="C13:P13"/>
    <mergeCell ref="C15:D15"/>
    <mergeCell ref="E15:O15"/>
    <mergeCell ref="D23:G23"/>
    <mergeCell ref="H23:J23"/>
    <mergeCell ref="D20:G20"/>
    <mergeCell ref="H20:J20"/>
    <mergeCell ref="D21:G21"/>
    <mergeCell ref="D32:G32"/>
    <mergeCell ref="H32:J32"/>
    <mergeCell ref="D28:G28"/>
    <mergeCell ref="H28:J28"/>
    <mergeCell ref="D29:G29"/>
    <mergeCell ref="H29:J29"/>
    <mergeCell ref="D30:G30"/>
    <mergeCell ref="H30:J30"/>
    <mergeCell ref="D31:G31"/>
    <mergeCell ref="H31:J31"/>
    <mergeCell ref="H33:J33"/>
    <mergeCell ref="D34:G34"/>
    <mergeCell ref="H34:J34"/>
    <mergeCell ref="D35:G35"/>
    <mergeCell ref="H35:J35"/>
    <mergeCell ref="C6:P7"/>
    <mergeCell ref="C95:N95"/>
    <mergeCell ref="C70:C71"/>
    <mergeCell ref="E70:N71"/>
    <mergeCell ref="C73:C74"/>
    <mergeCell ref="E73:N74"/>
    <mergeCell ref="C84:C85"/>
    <mergeCell ref="E84:N84"/>
    <mergeCell ref="E85:N85"/>
    <mergeCell ref="E88:N88"/>
    <mergeCell ref="C87:C88"/>
    <mergeCell ref="C90:C91"/>
    <mergeCell ref="E87:N87"/>
    <mergeCell ref="E90:N90"/>
    <mergeCell ref="E91:N91"/>
    <mergeCell ref="D33:G33"/>
  </mergeCells>
  <conditionalFormatting sqref="D84:D85">
    <cfRule type="expression" dxfId="9" priority="20">
      <formula>AND($C$19&lt;0.85,$C$19&gt;0.4)</formula>
    </cfRule>
  </conditionalFormatting>
  <conditionalFormatting sqref="C84">
    <cfRule type="expression" dxfId="8" priority="8">
      <formula>$C$84&lt;=0.4</formula>
    </cfRule>
  </conditionalFormatting>
  <conditionalFormatting sqref="C84">
    <cfRule type="expression" dxfId="7" priority="7">
      <formula>$C$84&gt;=0.85</formula>
    </cfRule>
  </conditionalFormatting>
  <conditionalFormatting sqref="C84">
    <cfRule type="expression" dxfId="6" priority="9">
      <formula>AND($C$84&lt;0.85,$C$84&gt;0.4)</formula>
    </cfRule>
  </conditionalFormatting>
  <conditionalFormatting sqref="C87">
    <cfRule type="expression" dxfId="5" priority="4">
      <formula>AND($C$87&lt;0.85,$C$87&gt;0.4)</formula>
    </cfRule>
    <cfRule type="expression" dxfId="4" priority="5">
      <formula>$C$87&lt;=0.4</formula>
    </cfRule>
    <cfRule type="expression" dxfId="3" priority="6">
      <formula>$C$87&gt;=0.85</formula>
    </cfRule>
  </conditionalFormatting>
  <conditionalFormatting sqref="C90">
    <cfRule type="expression" dxfId="2" priority="1">
      <formula>AND($C$90&lt;0.85,$C$90&gt;0.4)</formula>
    </cfRule>
    <cfRule type="expression" dxfId="1" priority="2">
      <formula>$C$90&lt;=0.4</formula>
    </cfRule>
    <cfRule type="expression" dxfId="0" priority="3">
      <formula>$C$90&gt;=0.85</formula>
    </cfRule>
  </conditionalFormatting>
  <printOptions horizontalCentered="1"/>
  <pageMargins left="0.23622047244094491" right="0.23622047244094491" top="0.74803149606299213" bottom="0.74803149606299213" header="0.31496062992125984" footer="0.31496062992125984"/>
  <pageSetup paperSize="9" scale="68" fitToHeight="100" orientation="portrait" r:id="rId1"/>
  <rowBreaks count="3" manualBreakCount="3">
    <brk id="12" min="2" max="16" man="1"/>
    <brk id="36" min="2" max="16" man="1"/>
    <brk id="65" min="2"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
  <sheetViews>
    <sheetView showGridLines="0" zoomScaleNormal="100" workbookViewId="0"/>
  </sheetViews>
  <sheetFormatPr defaultRowHeight="15" x14ac:dyDescent="0.25"/>
  <cols>
    <col min="1" max="1" width="2.7109375" style="71" customWidth="1"/>
    <col min="2" max="2" width="29.42578125" style="71" customWidth="1"/>
    <col min="3" max="3" width="9.140625" style="71"/>
    <col min="4" max="4" width="29.42578125" style="71" customWidth="1"/>
    <col min="5" max="5" width="9.140625" style="71"/>
    <col min="6" max="6" width="29.42578125" style="71" customWidth="1"/>
    <col min="7" max="7" width="9.140625" style="71"/>
    <col min="8" max="8" width="29.42578125" style="71" customWidth="1"/>
    <col min="9" max="9" width="9.140625" style="71"/>
    <col min="10" max="10" width="29.42578125" style="71" customWidth="1"/>
    <col min="11" max="11" width="1.5703125" style="71" customWidth="1"/>
    <col min="12" max="16384" width="9.140625" style="71"/>
  </cols>
  <sheetData>
    <row r="1" spans="2:10" s="14" customFormat="1" ht="30" customHeight="1" x14ac:dyDescent="0.25"/>
    <row r="2" spans="2:10" s="16" customFormat="1" ht="24.95" customHeight="1" x14ac:dyDescent="0.25"/>
    <row r="3" spans="2:10" s="18" customFormat="1" ht="5.0999999999999996" customHeight="1" x14ac:dyDescent="0.25"/>
    <row r="4" spans="2:10" ht="15.75" x14ac:dyDescent="0.25">
      <c r="B4" s="169" t="s">
        <v>129</v>
      </c>
      <c r="D4" s="169" t="s">
        <v>130</v>
      </c>
      <c r="F4" s="169" t="s">
        <v>132</v>
      </c>
      <c r="H4" s="169" t="s">
        <v>131</v>
      </c>
      <c r="J4" s="169" t="s">
        <v>133</v>
      </c>
    </row>
    <row r="5" spans="2:10" ht="23.25" x14ac:dyDescent="0.25">
      <c r="B5" s="170">
        <f>IFERROR(COUNTIF(Plan!$O$9:$O$38,"&gt;"&amp;0),0)</f>
        <v>6</v>
      </c>
      <c r="D5" s="170">
        <f>SUM(Che!$K$8:$K$10)</f>
        <v>5</v>
      </c>
      <c r="F5" s="170">
        <f>Che!$K$8</f>
        <v>2</v>
      </c>
      <c r="H5" s="170">
        <f>Che!$K$9</f>
        <v>2</v>
      </c>
      <c r="J5" s="170">
        <f>Che!$K$10</f>
        <v>1</v>
      </c>
    </row>
  </sheetData>
  <sheetProtection password="9084" sheet="1" objects="1" scenarios="1"/>
  <printOptions horizontalCentered="1" verticalCentered="1"/>
  <pageMargins left="0.23622047244094491" right="0.23622047244094491" top="0.74803149606299213" bottom="0.74803149606299213" header="0.31496062992125984" footer="0.31496062992125984"/>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zoomScaleNormal="100" workbookViewId="0">
      <selection sqref="A1:XFD1048576"/>
    </sheetView>
  </sheetViews>
  <sheetFormatPr defaultRowHeight="15" x14ac:dyDescent="0.25"/>
  <cols>
    <col min="1" max="1" width="2.7109375" style="11" customWidth="1"/>
    <col min="2" max="2" width="85.5703125" style="222" customWidth="1"/>
    <col min="3" max="3" width="3.5703125" style="222" customWidth="1"/>
    <col min="4" max="4" width="85.5703125" style="222" customWidth="1"/>
    <col min="5" max="6" width="9.140625" style="222"/>
    <col min="7" max="16384" width="9.140625" style="230"/>
  </cols>
  <sheetData>
    <row r="1" spans="1:4" s="14" customFormat="1" ht="30" customHeight="1" x14ac:dyDescent="0.25"/>
    <row r="2" spans="1:4" s="16" customFormat="1" ht="24.95" customHeight="1" x14ac:dyDescent="0.25"/>
    <row r="3" spans="1:4" s="18" customFormat="1" ht="20.100000000000001" customHeight="1" x14ac:dyDescent="0.25"/>
    <row r="4" spans="1:4" s="222" customFormat="1" x14ac:dyDescent="0.25">
      <c r="A4" s="11"/>
    </row>
    <row r="5" spans="1:4" s="222" customFormat="1" ht="18.75" x14ac:dyDescent="0.25">
      <c r="A5" s="11"/>
      <c r="B5" s="223" t="s">
        <v>98</v>
      </c>
      <c r="C5" s="224"/>
      <c r="D5" s="223" t="s">
        <v>99</v>
      </c>
    </row>
    <row r="6" spans="1:4" s="222" customFormat="1" ht="66" customHeight="1" x14ac:dyDescent="0.25">
      <c r="A6" s="11"/>
      <c r="B6" s="225" t="s">
        <v>100</v>
      </c>
      <c r="C6" s="224"/>
      <c r="D6" s="225" t="s">
        <v>101</v>
      </c>
    </row>
    <row r="7" spans="1:4" s="222" customFormat="1" ht="9.9499999999999993" customHeight="1" x14ac:dyDescent="0.25">
      <c r="A7" s="11"/>
      <c r="B7" s="226"/>
      <c r="C7" s="224"/>
      <c r="D7" s="226"/>
    </row>
    <row r="8" spans="1:4" s="222" customFormat="1" ht="18.75" x14ac:dyDescent="0.25">
      <c r="A8" s="11"/>
      <c r="B8" s="223" t="s">
        <v>102</v>
      </c>
      <c r="C8" s="224"/>
      <c r="D8" s="223" t="s">
        <v>103</v>
      </c>
    </row>
    <row r="9" spans="1:4" s="222" customFormat="1" ht="66" customHeight="1" x14ac:dyDescent="0.25">
      <c r="A9" s="11"/>
      <c r="B9" s="225" t="s">
        <v>100</v>
      </c>
      <c r="C9" s="224"/>
      <c r="D9" s="225" t="s">
        <v>104</v>
      </c>
    </row>
    <row r="10" spans="1:4" s="222" customFormat="1" ht="9.9499999999999993" customHeight="1" x14ac:dyDescent="0.25">
      <c r="A10" s="11"/>
      <c r="B10" s="226"/>
      <c r="C10" s="224"/>
      <c r="D10" s="226"/>
    </row>
    <row r="11" spans="1:4" s="222" customFormat="1" ht="18.75" x14ac:dyDescent="0.25">
      <c r="A11" s="11"/>
      <c r="B11" s="223" t="s">
        <v>105</v>
      </c>
      <c r="C11" s="224"/>
      <c r="D11" s="223" t="s">
        <v>106</v>
      </c>
    </row>
    <row r="12" spans="1:4" s="222" customFormat="1" ht="66" customHeight="1" x14ac:dyDescent="0.25">
      <c r="A12" s="11"/>
      <c r="B12" s="225" t="s">
        <v>107</v>
      </c>
      <c r="C12" s="224"/>
      <c r="D12" s="227" t="s">
        <v>108</v>
      </c>
    </row>
    <row r="13" spans="1:4" s="222" customFormat="1" ht="9.9499999999999993" customHeight="1" x14ac:dyDescent="0.25">
      <c r="A13" s="11"/>
      <c r="B13" s="226"/>
      <c r="C13" s="224"/>
      <c r="D13" s="228"/>
    </row>
    <row r="14" spans="1:4" s="222" customFormat="1" ht="18.75" x14ac:dyDescent="0.25">
      <c r="A14" s="11"/>
      <c r="B14" s="223" t="s">
        <v>109</v>
      </c>
      <c r="C14" s="224"/>
      <c r="D14" s="223" t="s">
        <v>110</v>
      </c>
    </row>
    <row r="15" spans="1:4" s="222" customFormat="1" ht="66" customHeight="1" x14ac:dyDescent="0.25">
      <c r="A15" s="11"/>
      <c r="B15" s="225" t="s">
        <v>111</v>
      </c>
      <c r="C15" s="224"/>
      <c r="D15" s="225" t="s">
        <v>112</v>
      </c>
    </row>
    <row r="16" spans="1:4" s="222" customFormat="1" x14ac:dyDescent="0.25">
      <c r="A16" s="11"/>
    </row>
    <row r="17" spans="1:9" s="222" customFormat="1" x14ac:dyDescent="0.25">
      <c r="A17" s="11"/>
    </row>
    <row r="18" spans="1:9" s="222" customFormat="1" x14ac:dyDescent="0.25">
      <c r="A18" s="11"/>
    </row>
    <row r="19" spans="1:9" s="222" customFormat="1" x14ac:dyDescent="0.25">
      <c r="A19" s="11"/>
    </row>
    <row r="20" spans="1:9" s="222" customFormat="1" x14ac:dyDescent="0.25">
      <c r="A20" s="11"/>
    </row>
    <row r="21" spans="1:9" s="222" customFormat="1" x14ac:dyDescent="0.25">
      <c r="A21" s="11"/>
    </row>
    <row r="22" spans="1:9" s="222" customFormat="1" x14ac:dyDescent="0.25">
      <c r="A22" s="11"/>
    </row>
    <row r="23" spans="1:9" s="222" customFormat="1" x14ac:dyDescent="0.25">
      <c r="A23" s="11"/>
    </row>
    <row r="24" spans="1:9" s="222" customFormat="1" x14ac:dyDescent="0.25">
      <c r="A24" s="11"/>
    </row>
    <row r="25" spans="1:9" s="222" customFormat="1" x14ac:dyDescent="0.25">
      <c r="A25" s="11"/>
    </row>
    <row r="26" spans="1:9" s="222" customFormat="1" x14ac:dyDescent="0.25">
      <c r="A26" s="11"/>
    </row>
    <row r="27" spans="1:9" s="222" customFormat="1" x14ac:dyDescent="0.25">
      <c r="A27" s="11"/>
      <c r="B27" s="222" t="str">
        <f t="shared" ref="B27:B28" si="0">IF(D27="","",C27&amp;". "&amp;D27)</f>
        <v/>
      </c>
      <c r="I27" s="229"/>
    </row>
    <row r="28" spans="1:9" s="222" customFormat="1" x14ac:dyDescent="0.25">
      <c r="A28" s="11"/>
      <c r="B28" s="222" t="str">
        <f t="shared" si="0"/>
        <v/>
      </c>
    </row>
    <row r="29" spans="1:9" s="222" customFormat="1" x14ac:dyDescent="0.25">
      <c r="A29" s="11"/>
    </row>
    <row r="30" spans="1:9" s="222" customFormat="1" x14ac:dyDescent="0.25">
      <c r="A30" s="11"/>
    </row>
  </sheetData>
  <sheetProtection password="9084" sheet="1" objects="1" scenarios="1" formatColumns="0" formatRows="0" selectLockedCells="1" autoFilter="0"/>
  <pageMargins left="0.23622047244094491" right="0.23622047244094491" top="0.74803149606299213" bottom="0.74803149606299213" header="0.31496062992125984" footer="0.31496062992125984"/>
  <pageSetup paperSize="9" scale="80" fitToHeight="100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3"/>
  <sheetViews>
    <sheetView showGridLines="0" zoomScaleNormal="100" workbookViewId="0">
      <selection sqref="A1:XFD1048576"/>
    </sheetView>
  </sheetViews>
  <sheetFormatPr defaultColWidth="0" defaultRowHeight="15" customHeight="1" zeroHeight="1" x14ac:dyDescent="0.25"/>
  <cols>
    <col min="1" max="1" width="2.7109375" style="11" customWidth="1"/>
    <col min="2" max="2" width="8.7109375" style="242" customWidth="1"/>
    <col min="3" max="3" width="71.140625" style="242" customWidth="1"/>
    <col min="4" max="4" width="17.140625" style="242" customWidth="1"/>
    <col min="5" max="5" width="11.28515625" style="242" customWidth="1"/>
    <col min="6" max="6" width="6.140625" style="242" customWidth="1"/>
    <col min="7" max="8" width="8.85546875" style="242" customWidth="1"/>
    <col min="9" max="9" width="17.5703125" style="242" customWidth="1"/>
    <col min="10" max="10" width="14.7109375" style="242" customWidth="1"/>
    <col min="11" max="11" width="8.42578125" style="242" customWidth="1"/>
    <col min="12" max="12" width="2.28515625" style="242" customWidth="1"/>
    <col min="13" max="17" width="8.85546875" style="242" customWidth="1"/>
    <col min="18" max="18" width="22.28515625" style="242" customWidth="1"/>
    <col min="19" max="30" width="8.85546875" style="242" customWidth="1"/>
    <col min="31" max="31" width="0" style="242" hidden="1" customWidth="1"/>
    <col min="32" max="16384" width="8.85546875" style="242" hidden="1"/>
  </cols>
  <sheetData>
    <row r="1" spans="1:30" s="14" customFormat="1" ht="30" customHeight="1" x14ac:dyDescent="0.25"/>
    <row r="2" spans="1:30" s="16" customFormat="1" ht="24.95" customHeight="1" x14ac:dyDescent="0.25"/>
    <row r="3" spans="1:30" s="18" customFormat="1" ht="20.100000000000001" customHeight="1" x14ac:dyDescent="0.25"/>
    <row r="4" spans="1:30" s="235" customFormat="1" ht="24" customHeight="1" x14ac:dyDescent="0.35">
      <c r="A4" s="12"/>
      <c r="B4" s="231"/>
      <c r="C4" s="232"/>
      <c r="D4" s="233"/>
      <c r="E4" s="233"/>
      <c r="F4" s="233"/>
      <c r="G4" s="233"/>
      <c r="H4" s="233"/>
      <c r="I4" s="233"/>
      <c r="J4" s="234"/>
      <c r="K4" s="234"/>
      <c r="L4" s="234"/>
      <c r="M4" s="234"/>
      <c r="N4" s="234"/>
      <c r="O4" s="234"/>
      <c r="P4" s="233"/>
      <c r="Q4" s="233"/>
      <c r="R4" s="233"/>
      <c r="S4" s="233"/>
      <c r="T4" s="233"/>
      <c r="U4" s="233"/>
      <c r="V4" s="233"/>
      <c r="W4" s="233"/>
      <c r="X4" s="233"/>
      <c r="Y4" s="233"/>
      <c r="Z4" s="233"/>
      <c r="AA4" s="233"/>
      <c r="AB4" s="233"/>
      <c r="AC4" s="233"/>
      <c r="AD4" s="233"/>
    </row>
    <row r="5" spans="1:30" s="235" customFormat="1" ht="24" customHeight="1" x14ac:dyDescent="0.25">
      <c r="A5" s="12"/>
      <c r="B5" s="236">
        <v>1</v>
      </c>
      <c r="C5" s="237" t="s">
        <v>113</v>
      </c>
      <c r="D5" s="238" t="s">
        <v>114</v>
      </c>
      <c r="E5" s="239"/>
      <c r="F5" s="239"/>
      <c r="G5" s="239"/>
      <c r="H5" s="239"/>
      <c r="I5" s="239"/>
      <c r="J5" s="239"/>
      <c r="K5" s="239"/>
      <c r="L5" s="239"/>
      <c r="M5" s="239"/>
      <c r="N5" s="239"/>
      <c r="O5" s="239"/>
      <c r="P5" s="239"/>
      <c r="Q5" s="239"/>
      <c r="R5" s="239"/>
      <c r="S5" s="233"/>
      <c r="T5" s="233"/>
      <c r="U5" s="233"/>
      <c r="V5" s="233"/>
      <c r="W5" s="233"/>
      <c r="X5" s="233"/>
      <c r="Y5" s="233"/>
      <c r="Z5" s="233"/>
      <c r="AA5" s="233"/>
      <c r="AB5" s="233"/>
      <c r="AC5" s="233"/>
      <c r="AD5" s="233"/>
    </row>
    <row r="6" spans="1:30" ht="24" customHeight="1" x14ac:dyDescent="0.25">
      <c r="A6" s="13"/>
      <c r="B6" s="240"/>
      <c r="C6" s="223"/>
      <c r="D6" s="241"/>
      <c r="E6" s="241"/>
      <c r="F6" s="241"/>
      <c r="G6" s="241"/>
      <c r="H6" s="241"/>
      <c r="I6" s="241"/>
      <c r="J6" s="241"/>
      <c r="K6" s="241"/>
      <c r="L6" s="241"/>
      <c r="M6" s="241"/>
      <c r="N6" s="241"/>
      <c r="O6" s="241"/>
      <c r="P6" s="241"/>
      <c r="Q6" s="241"/>
      <c r="R6" s="241"/>
      <c r="S6" s="241"/>
    </row>
    <row r="7" spans="1:30" ht="24" customHeight="1" x14ac:dyDescent="0.25">
      <c r="B7" s="236">
        <v>2</v>
      </c>
      <c r="C7" s="237" t="s">
        <v>115</v>
      </c>
      <c r="D7" s="238" t="s">
        <v>114</v>
      </c>
    </row>
    <row r="8" spans="1:30" ht="24" customHeight="1" x14ac:dyDescent="0.3">
      <c r="B8" s="240"/>
      <c r="C8" s="243"/>
      <c r="D8" s="63"/>
      <c r="E8" s="63"/>
      <c r="F8" s="63"/>
      <c r="G8" s="63"/>
      <c r="H8" s="63"/>
      <c r="I8" s="63"/>
      <c r="J8" s="63"/>
    </row>
    <row r="9" spans="1:30" ht="24" customHeight="1" x14ac:dyDescent="0.25">
      <c r="B9" s="236">
        <v>3</v>
      </c>
      <c r="C9" s="237" t="s">
        <v>116</v>
      </c>
      <c r="D9" s="238" t="s">
        <v>114</v>
      </c>
      <c r="J9" s="244"/>
      <c r="K9" s="245"/>
      <c r="L9" s="245"/>
      <c r="M9" s="245"/>
      <c r="N9" s="245"/>
    </row>
    <row r="10" spans="1:30" ht="24" customHeight="1" x14ac:dyDescent="0.3">
      <c r="B10" s="240"/>
      <c r="C10" s="243"/>
    </row>
    <row r="11" spans="1:30" ht="24" customHeight="1" x14ac:dyDescent="0.25">
      <c r="B11" s="236">
        <v>4</v>
      </c>
      <c r="C11" s="237" t="s">
        <v>117</v>
      </c>
      <c r="D11" s="238" t="s">
        <v>114</v>
      </c>
    </row>
    <row r="12" spans="1:30" ht="24" customHeight="1" x14ac:dyDescent="0.3">
      <c r="B12" s="240"/>
      <c r="C12" s="243"/>
    </row>
    <row r="13" spans="1:30" ht="24" customHeight="1" x14ac:dyDescent="0.25">
      <c r="B13" s="246"/>
      <c r="C13" s="247"/>
      <c r="D13" s="248"/>
    </row>
    <row r="14" spans="1:30" x14ac:dyDescent="0.25"/>
    <row r="15" spans="1:30" x14ac:dyDescent="0.25"/>
    <row r="16" spans="1:30" ht="21" x14ac:dyDescent="0.25">
      <c r="J16" s="249"/>
    </row>
    <row r="17" spans="10:10" x14ac:dyDescent="0.25">
      <c r="J17" s="244"/>
    </row>
    <row r="18" spans="10:10" x14ac:dyDescent="0.25"/>
    <row r="19" spans="10:10" x14ac:dyDescent="0.25"/>
    <row r="20" spans="10:10" ht="21" x14ac:dyDescent="0.25">
      <c r="J20" s="249"/>
    </row>
    <row r="21" spans="10:10" x14ac:dyDescent="0.25">
      <c r="J21" s="244"/>
    </row>
    <row r="22" spans="10:10" x14ac:dyDescent="0.25"/>
    <row r="23" spans="10:10" x14ac:dyDescent="0.25"/>
    <row r="24" spans="10:10" ht="21" x14ac:dyDescent="0.25">
      <c r="J24" s="250"/>
    </row>
    <row r="25" spans="10:10" x14ac:dyDescent="0.25">
      <c r="J25" s="244"/>
    </row>
    <row r="26" spans="10:10" x14ac:dyDescent="0.25"/>
    <row r="27" spans="10:10" x14ac:dyDescent="0.25"/>
    <row r="28" spans="10:10" x14ac:dyDescent="0.25"/>
    <row r="29" spans="10:10" x14ac:dyDescent="0.25"/>
    <row r="30" spans="10:10" x14ac:dyDescent="0.25"/>
    <row r="31" spans="10:10" x14ac:dyDescent="0.25"/>
    <row r="32" spans="10:1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10:10" x14ac:dyDescent="0.25"/>
    <row r="50" spans="10:10" x14ac:dyDescent="0.25"/>
    <row r="51" spans="10:10" x14ac:dyDescent="0.25"/>
    <row r="52" spans="10:10" x14ac:dyDescent="0.25"/>
    <row r="53" spans="10:10" x14ac:dyDescent="0.25">
      <c r="J53" s="251"/>
    </row>
    <row r="54" spans="10:10" x14ac:dyDescent="0.25"/>
    <row r="55" spans="10:10" x14ac:dyDescent="0.25"/>
    <row r="56" spans="10:10" x14ac:dyDescent="0.25"/>
    <row r="57" spans="10:10" x14ac:dyDescent="0.25"/>
    <row r="58" spans="10:10" x14ac:dyDescent="0.25"/>
    <row r="59" spans="10:10" x14ac:dyDescent="0.25"/>
    <row r="60" spans="10:10" x14ac:dyDescent="0.25"/>
    <row r="61" spans="10:10" x14ac:dyDescent="0.25"/>
    <row r="62" spans="10:10" x14ac:dyDescent="0.25"/>
    <row r="63" spans="10:10" x14ac:dyDescent="0.25"/>
  </sheetData>
  <sheetProtection password="9084" sheet="1" objects="1" scenarios="1" formatColumns="0" formatRows="0" selectLockedCells="1" autoFilter="0"/>
  <hyperlinks>
    <hyperlink ref="D24:J24" r:id="rId1" display="Planilha de Avaliação de Desempenho por Competências"/>
    <hyperlink ref="D9" r:id="rId2"/>
    <hyperlink ref="D7" r:id="rId3"/>
    <hyperlink ref="D11" r:id="rId4"/>
    <hyperlink ref="D5" r:id="rId5"/>
  </hyperlinks>
  <pageMargins left="0.75" right="0.75" top="1" bottom="1" header="0.5" footer="0.5"/>
  <pageSetup paperSize="9" orientation="portrait" horizontalDpi="4294967292" verticalDpi="4294967292"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showGridLines="0" zoomScaleNormal="100" zoomScaleSheetLayoutView="80" workbookViewId="0">
      <selection sqref="A1:XFD1048576"/>
    </sheetView>
  </sheetViews>
  <sheetFormatPr defaultColWidth="9.140625" defaultRowHeight="15" customHeight="1" zeroHeight="1" x14ac:dyDescent="0.25"/>
  <cols>
    <col min="1" max="1" width="2.7109375" style="11" customWidth="1"/>
    <col min="2" max="3" width="10.85546875" style="242" customWidth="1"/>
    <col min="4" max="4" width="10.7109375" style="242" customWidth="1"/>
    <col min="5" max="16" width="10.85546875" style="242" customWidth="1"/>
    <col min="17" max="18" width="9.140625" style="242" customWidth="1"/>
    <col min="19" max="16384" width="9.140625" style="242"/>
  </cols>
  <sheetData>
    <row r="1" spans="1:8" s="14" customFormat="1" ht="30" customHeight="1" x14ac:dyDescent="0.25"/>
    <row r="2" spans="1:8" s="16" customFormat="1" ht="24.95" customHeight="1" x14ac:dyDescent="0.25"/>
    <row r="3" spans="1:8" s="18" customFormat="1" ht="20.100000000000001" customHeight="1" x14ac:dyDescent="0.25"/>
    <row r="4" spans="1:8" s="233" customFormat="1" ht="23.25" x14ac:dyDescent="0.35">
      <c r="B4" s="252" t="s">
        <v>118</v>
      </c>
    </row>
    <row r="5" spans="1:8" s="233" customFormat="1" x14ac:dyDescent="0.25">
      <c r="A5" s="12"/>
    </row>
    <row r="6" spans="1:8" ht="35.25" customHeight="1" x14ac:dyDescent="0.25">
      <c r="A6" s="13"/>
      <c r="H6" s="71"/>
    </row>
    <row r="7" spans="1:8" ht="35.25" customHeight="1" x14ac:dyDescent="0.25"/>
    <row r="8" spans="1:8" ht="30" customHeight="1" x14ac:dyDescent="0.25"/>
    <row r="9" spans="1:8" ht="30" customHeight="1" x14ac:dyDescent="0.25"/>
    <row r="10" spans="1:8" ht="30" customHeight="1" x14ac:dyDescent="0.25"/>
    <row r="11" spans="1:8" ht="30" customHeight="1" x14ac:dyDescent="0.25"/>
    <row r="12" spans="1:8" ht="30" customHeight="1" x14ac:dyDescent="0.25">
      <c r="G12" s="71"/>
    </row>
    <row r="13" spans="1:8" ht="30" customHeight="1" x14ac:dyDescent="0.25"/>
    <row r="14" spans="1:8" ht="30" customHeight="1" x14ac:dyDescent="0.25"/>
    <row r="15" spans="1:8" ht="30" customHeight="1" x14ac:dyDescent="0.25"/>
    <row r="16" spans="1:8"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row r="27" ht="30" customHeight="1" x14ac:dyDescent="0.25"/>
    <row r="28" ht="30" customHeight="1" x14ac:dyDescent="0.25"/>
    <row r="29" ht="30" customHeight="1" x14ac:dyDescent="0.25"/>
    <row r="30" ht="30" customHeight="1" x14ac:dyDescent="0.25"/>
    <row r="31" ht="30" customHeight="1" x14ac:dyDescent="0.25"/>
    <row r="32"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48"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7" ht="30" customHeight="1" x14ac:dyDescent="0.25"/>
    <row r="58"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15" customHeight="1" x14ac:dyDescent="0.25"/>
  </sheetData>
  <sheetProtection password="9084" sheet="1" objects="1" scenarios="1" formatColumns="0" formatRows="0" selectLockedCells="1" autoFilter="0"/>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8"/>
  <sheetViews>
    <sheetView showGridLines="0" zoomScaleNormal="100" workbookViewId="0">
      <selection activeCell="D6" sqref="D6:G6"/>
    </sheetView>
  </sheetViews>
  <sheetFormatPr defaultColWidth="9.140625" defaultRowHeight="15" x14ac:dyDescent="0.25"/>
  <cols>
    <col min="1" max="2" width="1.7109375" style="20" customWidth="1"/>
    <col min="3" max="3" width="45.7109375" style="20" customWidth="1"/>
    <col min="4" max="4" width="10.5703125" style="20" customWidth="1"/>
    <col min="5" max="5" width="3.42578125" style="20" customWidth="1"/>
    <col min="6" max="6" width="45.7109375" style="20" customWidth="1"/>
    <col min="7" max="7" width="10.5703125" style="20" customWidth="1"/>
    <col min="8" max="8" width="3.85546875" style="20" customWidth="1"/>
    <col min="9" max="9" width="45.7109375" style="20" customWidth="1"/>
    <col min="10" max="10" width="10.5703125" style="20" customWidth="1"/>
    <col min="11" max="11" width="8.85546875" style="31" customWidth="1"/>
    <col min="12" max="12" width="6.42578125" style="27" customWidth="1"/>
    <col min="13" max="13" width="12.42578125" style="27" customWidth="1"/>
    <col min="14" max="14" width="35.28515625" style="27" customWidth="1"/>
    <col min="15" max="15" width="8.85546875" style="27" customWidth="1"/>
    <col min="16" max="16" width="35.28515625" style="27" customWidth="1"/>
    <col min="17" max="17" width="8.85546875" style="27" customWidth="1"/>
    <col min="18" max="18" width="47" style="27" customWidth="1"/>
    <col min="19" max="23" width="8.85546875" style="27" customWidth="1"/>
    <col min="24" max="24" width="47" style="27" bestFit="1" customWidth="1"/>
    <col min="25" max="27" width="8.85546875" style="29" customWidth="1"/>
    <col min="28" max="28" width="9.140625" style="29" customWidth="1"/>
    <col min="29" max="29" width="9.140625" style="30" customWidth="1"/>
    <col min="30" max="34" width="9.140625" style="20"/>
    <col min="35" max="16384" width="9.140625" style="31"/>
  </cols>
  <sheetData>
    <row r="1" spans="1:34" s="14" customFormat="1" ht="30" customHeight="1" x14ac:dyDescent="0.25">
      <c r="K1" s="15"/>
      <c r="L1" s="15"/>
      <c r="M1" s="15"/>
      <c r="N1" s="15"/>
      <c r="O1" s="15"/>
      <c r="P1" s="15"/>
      <c r="Q1" s="15"/>
      <c r="R1" s="15"/>
      <c r="S1" s="15"/>
      <c r="T1" s="15"/>
      <c r="U1" s="15"/>
      <c r="V1" s="15"/>
      <c r="W1" s="15"/>
      <c r="X1" s="15"/>
    </row>
    <row r="2" spans="1:34" s="16" customFormat="1" ht="24.95" customHeight="1" x14ac:dyDescent="0.25">
      <c r="K2" s="17"/>
      <c r="L2" s="17"/>
      <c r="M2" s="17"/>
      <c r="N2" s="17"/>
      <c r="O2" s="17"/>
      <c r="P2" s="17"/>
      <c r="Q2" s="17"/>
      <c r="R2" s="17"/>
      <c r="S2" s="17"/>
      <c r="T2" s="17"/>
      <c r="U2" s="17"/>
      <c r="V2" s="17"/>
      <c r="W2" s="17"/>
      <c r="X2" s="17"/>
    </row>
    <row r="3" spans="1:34" s="18" customFormat="1" ht="20.100000000000001" customHeight="1" x14ac:dyDescent="0.25">
      <c r="K3" s="19"/>
      <c r="L3" s="19"/>
      <c r="M3" s="19"/>
      <c r="N3" s="19"/>
      <c r="O3" s="19"/>
      <c r="P3" s="19"/>
      <c r="Q3" s="19"/>
      <c r="R3" s="19"/>
      <c r="S3" s="19"/>
      <c r="T3" s="19"/>
      <c r="U3" s="19"/>
      <c r="V3" s="19"/>
      <c r="W3" s="19"/>
      <c r="X3" s="19"/>
    </row>
    <row r="4" spans="1:34" s="23" customFormat="1" ht="23.25" x14ac:dyDescent="0.25">
      <c r="A4" s="20"/>
      <c r="B4" s="21"/>
      <c r="C4" s="22" t="s">
        <v>136</v>
      </c>
      <c r="D4" s="21"/>
      <c r="E4" s="21"/>
      <c r="F4" s="21"/>
      <c r="G4" s="21"/>
      <c r="H4" s="21"/>
      <c r="I4" s="21"/>
      <c r="J4" s="21"/>
      <c r="L4" s="24"/>
      <c r="M4" s="24"/>
      <c r="N4" s="24"/>
      <c r="O4" s="24"/>
      <c r="P4" s="24"/>
      <c r="Q4" s="24"/>
      <c r="R4" s="24"/>
      <c r="S4" s="24"/>
      <c r="T4" s="24"/>
      <c r="U4" s="24"/>
      <c r="V4" s="24"/>
      <c r="W4" s="24"/>
      <c r="X4" s="24"/>
      <c r="Y4" s="25"/>
      <c r="Z4" s="25"/>
      <c r="AA4" s="25"/>
      <c r="AB4" s="25"/>
      <c r="AC4" s="26"/>
      <c r="AD4" s="21"/>
      <c r="AE4" s="21"/>
      <c r="AF4" s="21"/>
      <c r="AG4" s="21"/>
      <c r="AH4" s="21"/>
    </row>
    <row r="5" spans="1:34" ht="15" customHeight="1" x14ac:dyDescent="0.25">
      <c r="C5" s="27"/>
      <c r="D5" s="27"/>
      <c r="E5" s="28"/>
      <c r="F5" s="28"/>
      <c r="G5" s="28"/>
      <c r="H5" s="28"/>
      <c r="I5" s="28"/>
      <c r="J5" s="28"/>
      <c r="K5" s="27"/>
    </row>
    <row r="6" spans="1:34" ht="30" customHeight="1" x14ac:dyDescent="0.25">
      <c r="C6" s="32" t="s">
        <v>4</v>
      </c>
      <c r="D6" s="171" t="s">
        <v>66</v>
      </c>
      <c r="E6" s="171"/>
      <c r="F6" s="171"/>
      <c r="G6" s="171"/>
      <c r="H6" s="28"/>
      <c r="I6" s="28"/>
      <c r="J6" s="28"/>
      <c r="K6" s="27"/>
    </row>
    <row r="7" spans="1:34" ht="5.0999999999999996" customHeight="1" thickBot="1" x14ac:dyDescent="0.3">
      <c r="B7" s="33"/>
      <c r="I7" s="34"/>
      <c r="J7" s="34"/>
      <c r="L7" s="35"/>
      <c r="M7" s="35"/>
    </row>
    <row r="8" spans="1:34" s="23" customFormat="1" ht="30" customHeight="1" thickTop="1" thickBot="1" x14ac:dyDescent="0.3">
      <c r="A8" s="20"/>
      <c r="B8" s="21"/>
      <c r="C8" s="172" t="s">
        <v>40</v>
      </c>
      <c r="D8" s="173"/>
      <c r="E8" s="36"/>
      <c r="F8" s="172" t="s">
        <v>41</v>
      </c>
      <c r="G8" s="173"/>
      <c r="H8" s="36"/>
      <c r="I8" s="172" t="s">
        <v>42</v>
      </c>
      <c r="J8" s="173"/>
      <c r="L8" s="37" t="s">
        <v>119</v>
      </c>
      <c r="M8" s="38" t="s">
        <v>23</v>
      </c>
      <c r="N8" s="38" t="s">
        <v>24</v>
      </c>
      <c r="O8" s="27" t="s">
        <v>1</v>
      </c>
      <c r="P8" s="27" t="s">
        <v>9</v>
      </c>
      <c r="Q8" s="24"/>
      <c r="R8" s="24"/>
      <c r="S8" s="24"/>
      <c r="T8" s="24"/>
      <c r="U8" s="24" t="s">
        <v>47</v>
      </c>
      <c r="V8" s="24" t="s">
        <v>9</v>
      </c>
      <c r="W8" s="24" t="s">
        <v>48</v>
      </c>
      <c r="X8" s="24" t="s">
        <v>49</v>
      </c>
      <c r="Y8" s="25"/>
      <c r="Z8" s="25"/>
      <c r="AA8" s="25"/>
      <c r="AB8" s="25"/>
      <c r="AC8" s="26"/>
      <c r="AD8" s="21"/>
      <c r="AE8" s="21"/>
      <c r="AF8" s="21"/>
      <c r="AG8" s="21"/>
      <c r="AH8" s="21"/>
    </row>
    <row r="9" spans="1:34" s="23" customFormat="1" ht="30" customHeight="1" thickTop="1" thickBot="1" x14ac:dyDescent="0.3">
      <c r="A9" s="20"/>
      <c r="B9" s="21"/>
      <c r="C9" s="39" t="s">
        <v>0</v>
      </c>
      <c r="D9" s="39" t="s">
        <v>1</v>
      </c>
      <c r="E9" s="40"/>
      <c r="F9" s="39" t="s">
        <v>0</v>
      </c>
      <c r="G9" s="39" t="s">
        <v>1</v>
      </c>
      <c r="H9" s="40"/>
      <c r="I9" s="39" t="s">
        <v>0</v>
      </c>
      <c r="J9" s="39" t="s">
        <v>1</v>
      </c>
      <c r="L9" s="41">
        <v>1</v>
      </c>
      <c r="M9" s="42">
        <f>E10</f>
        <v>1.0000000099999999</v>
      </c>
      <c r="N9" s="38" t="str">
        <f>IF(C10="","",C10)</f>
        <v>Ex.: Quantidade Limitada de Materiais</v>
      </c>
      <c r="O9" s="43">
        <f>IF(LARGE($M$9:$M$38,$L9)&gt;=1,LARGE($M$9:$M$38,$L9),"")</f>
        <v>1.0000026</v>
      </c>
      <c r="P9" s="27" t="str">
        <f>IF(ISERROR(VLOOKUP(O9,$M$9:$N$38,2,0)),"",VLOOKUP(O9,$M$9:$N$38,2,0))</f>
        <v>Ex.: Inexistencia de Medidores</v>
      </c>
      <c r="Q9" s="24" t="s">
        <v>134</v>
      </c>
      <c r="R9" s="24" t="s">
        <v>135</v>
      </c>
      <c r="S9" s="24"/>
      <c r="T9" s="24"/>
      <c r="U9" s="44">
        <f>D15</f>
        <v>1.0000000099999999</v>
      </c>
      <c r="V9" s="24" t="str">
        <f>C8</f>
        <v>Causas relacionadas aos Materiais</v>
      </c>
      <c r="W9" s="45">
        <f>MAX(U9:U14)</f>
        <v>1.0000026</v>
      </c>
      <c r="X9" s="46" t="str">
        <f t="shared" ref="X9:X14" si="0">IF(W9="","",VLOOKUP(W9,$U$9:$V$14,2,0))</f>
        <v>Causas relacionadas à Medida</v>
      </c>
      <c r="Y9" s="25"/>
      <c r="Z9" s="25"/>
      <c r="AA9" s="25"/>
      <c r="AB9" s="25"/>
      <c r="AC9" s="26"/>
      <c r="AD9" s="21"/>
      <c r="AE9" s="21"/>
      <c r="AF9" s="21"/>
      <c r="AG9" s="21"/>
      <c r="AH9" s="21"/>
    </row>
    <row r="10" spans="1:34" s="23" customFormat="1" ht="30" customHeight="1" thickTop="1" x14ac:dyDescent="0.25">
      <c r="A10" s="20"/>
      <c r="B10" s="21"/>
      <c r="C10" s="6" t="s">
        <v>83</v>
      </c>
      <c r="D10" s="6">
        <v>1</v>
      </c>
      <c r="E10" s="47">
        <f>D10+0.00000001</f>
        <v>1.0000000099999999</v>
      </c>
      <c r="F10" s="6" t="s">
        <v>84</v>
      </c>
      <c r="G10" s="6">
        <v>1</v>
      </c>
      <c r="H10" s="47">
        <f>G10+0.0000011</f>
        <v>1.0000011</v>
      </c>
      <c r="I10" s="6" t="s">
        <v>85</v>
      </c>
      <c r="J10" s="6">
        <v>1</v>
      </c>
      <c r="K10" s="47">
        <f>J10+0.0000021</f>
        <v>1.0000020999999999</v>
      </c>
      <c r="L10" s="41">
        <v>2</v>
      </c>
      <c r="M10" s="42">
        <f t="shared" ref="M10:M13" si="1">E11</f>
        <v>2E-8</v>
      </c>
      <c r="N10" s="38" t="str">
        <f t="shared" ref="N10:N13" si="2">IF(C11="","",C11)</f>
        <v/>
      </c>
      <c r="O10" s="43">
        <f t="shared" ref="O10:O38" si="3">IF(LARGE($M$9:$M$38,$L10)&gt;=1,LARGE($M$9:$M$38,$L10),"")</f>
        <v>1.0000020999999999</v>
      </c>
      <c r="P10" s="27" t="str">
        <f t="shared" ref="P10:P38" si="4">IF(ISERROR(VLOOKUP(O10,$M$9:$N$38,2,0)),"",VLOOKUP(O10,$M$9:$N$38,2,0))</f>
        <v>Ex.: Funcionários Desqualificados</v>
      </c>
      <c r="Q10" s="24">
        <f>COUNTA(C10:C14)</f>
        <v>1</v>
      </c>
      <c r="R10" s="24" t="str">
        <f>C8</f>
        <v>Causas relacionadas aos Materiais</v>
      </c>
      <c r="S10" s="44">
        <f>D15</f>
        <v>1.0000000099999999</v>
      </c>
      <c r="T10" s="24" t="str">
        <f>C8</f>
        <v>Causas relacionadas aos Materiais</v>
      </c>
      <c r="U10" s="44">
        <f>G15</f>
        <v>1.0000011</v>
      </c>
      <c r="V10" s="24" t="str">
        <f>F8</f>
        <v>Causas relacionadas aos Métodos</v>
      </c>
      <c r="W10" s="45">
        <f>IF(ISERROR(LARGE($U$9:$U$14,2)),"",LARGE($U$9:$U$14,2))</f>
        <v>1.0000020999999999</v>
      </c>
      <c r="X10" s="46" t="str">
        <f t="shared" si="0"/>
        <v>Causas relacionadas à Mão-de-obra</v>
      </c>
      <c r="Y10" s="25"/>
      <c r="Z10" s="25"/>
      <c r="AA10" s="25"/>
      <c r="AB10" s="25"/>
      <c r="AC10" s="26"/>
      <c r="AD10" s="21"/>
      <c r="AE10" s="21"/>
      <c r="AF10" s="21"/>
      <c r="AG10" s="21"/>
      <c r="AH10" s="21"/>
    </row>
    <row r="11" spans="1:34" s="23" customFormat="1" ht="30" customHeight="1" x14ac:dyDescent="0.25">
      <c r="A11" s="20"/>
      <c r="B11" s="21"/>
      <c r="C11" s="6"/>
      <c r="D11" s="6"/>
      <c r="E11" s="47">
        <f>D11+0.00000002</f>
        <v>2E-8</v>
      </c>
      <c r="F11" s="6"/>
      <c r="G11" s="6"/>
      <c r="H11" s="47">
        <f>G11+0.0000012</f>
        <v>1.1999999999999999E-6</v>
      </c>
      <c r="I11" s="6"/>
      <c r="J11" s="6"/>
      <c r="K11" s="47">
        <f>J11+0.0000022</f>
        <v>2.2000000000000001E-6</v>
      </c>
      <c r="L11" s="41">
        <v>3</v>
      </c>
      <c r="M11" s="42">
        <f t="shared" si="1"/>
        <v>2.9999999999999997E-8</v>
      </c>
      <c r="N11" s="38" t="str">
        <f t="shared" si="2"/>
        <v/>
      </c>
      <c r="O11" s="43">
        <f t="shared" si="3"/>
        <v>1.0000011</v>
      </c>
      <c r="P11" s="27" t="str">
        <f t="shared" si="4"/>
        <v>Ex.: Método Inexistente</v>
      </c>
      <c r="Q11" s="24">
        <f>COUNTA(F10:F14)</f>
        <v>1</v>
      </c>
      <c r="R11" s="24" t="str">
        <f>F8</f>
        <v>Causas relacionadas aos Métodos</v>
      </c>
      <c r="S11" s="44">
        <f>G15</f>
        <v>1.0000011</v>
      </c>
      <c r="T11" s="24" t="str">
        <f>F8</f>
        <v>Causas relacionadas aos Métodos</v>
      </c>
      <c r="U11" s="44">
        <f>J15</f>
        <v>1.0000020999999999</v>
      </c>
      <c r="V11" s="24" t="str">
        <f>I8</f>
        <v>Causas relacionadas à Mão-de-obra</v>
      </c>
      <c r="W11" s="45">
        <f>IF(ISERROR(LARGE($U$9:$U$14,3)),"",LARGE($U$9:$U$14,3))</f>
        <v>1.0000011</v>
      </c>
      <c r="X11" s="46" t="str">
        <f t="shared" si="0"/>
        <v>Causas relacionadas aos Métodos</v>
      </c>
      <c r="Y11" s="25"/>
      <c r="Z11" s="25"/>
      <c r="AA11" s="25"/>
      <c r="AB11" s="25"/>
      <c r="AC11" s="26"/>
      <c r="AD11" s="21"/>
      <c r="AE11" s="21"/>
      <c r="AF11" s="21"/>
      <c r="AG11" s="21"/>
      <c r="AH11" s="21"/>
    </row>
    <row r="12" spans="1:34" s="23" customFormat="1" ht="30" customHeight="1" x14ac:dyDescent="0.25">
      <c r="A12" s="48"/>
      <c r="B12" s="21"/>
      <c r="C12" s="253"/>
      <c r="D12" s="253"/>
      <c r="E12" s="47">
        <f>D12+0.00000003</f>
        <v>2.9999999999999997E-8</v>
      </c>
      <c r="F12" s="253"/>
      <c r="G12" s="253"/>
      <c r="H12" s="47">
        <f>G12+0.0000013</f>
        <v>1.3E-6</v>
      </c>
      <c r="I12" s="253"/>
      <c r="J12" s="253"/>
      <c r="K12" s="47">
        <f>J12+0.0000023</f>
        <v>2.3E-6</v>
      </c>
      <c r="L12" s="41">
        <v>4</v>
      </c>
      <c r="M12" s="42">
        <f t="shared" si="1"/>
        <v>4.0000000000000001E-8</v>
      </c>
      <c r="N12" s="38" t="str">
        <f t="shared" si="2"/>
        <v/>
      </c>
      <c r="O12" s="43">
        <f t="shared" si="3"/>
        <v>1.0000000600000001</v>
      </c>
      <c r="P12" s="27" t="str">
        <f t="shared" si="4"/>
        <v>Ex.: Máquinas sujas</v>
      </c>
      <c r="Q12" s="24">
        <f>COUNTA(I10:I14)</f>
        <v>1</v>
      </c>
      <c r="R12" s="24" t="str">
        <f>I8</f>
        <v>Causas relacionadas à Mão-de-obra</v>
      </c>
      <c r="S12" s="44">
        <f>J15</f>
        <v>1.0000020999999999</v>
      </c>
      <c r="T12" s="24" t="str">
        <f>I8</f>
        <v>Causas relacionadas à Mão-de-obra</v>
      </c>
      <c r="U12" s="44">
        <f>D24</f>
        <v>1.0000000600000001</v>
      </c>
      <c r="V12" s="24" t="str">
        <f>C17</f>
        <v>Causas relacionadas às Máquinas ou Equipamentos</v>
      </c>
      <c r="W12" s="45">
        <f>IF(ISERROR(LARGE($U$9:$U$14,4)),"",LARGE($U$9:$U$14,4))</f>
        <v>1.0000000600000001</v>
      </c>
      <c r="X12" s="46" t="str">
        <f t="shared" si="0"/>
        <v>Causas relacionadas às Máquinas ou Equipamentos</v>
      </c>
      <c r="Y12" s="25"/>
      <c r="Z12" s="25"/>
      <c r="AA12" s="25"/>
      <c r="AB12" s="25"/>
      <c r="AC12" s="26"/>
      <c r="AD12" s="21"/>
      <c r="AE12" s="21"/>
      <c r="AF12" s="21"/>
      <c r="AG12" s="21"/>
      <c r="AH12" s="21"/>
    </row>
    <row r="13" spans="1:34" s="23" customFormat="1" ht="30" customHeight="1" x14ac:dyDescent="0.25">
      <c r="A13" s="48"/>
      <c r="B13" s="21"/>
      <c r="C13" s="253"/>
      <c r="D13" s="253"/>
      <c r="E13" s="47">
        <f>D13+0.00000004</f>
        <v>4.0000000000000001E-8</v>
      </c>
      <c r="F13" s="253"/>
      <c r="G13" s="253"/>
      <c r="H13" s="47">
        <f>G13+0.0000014</f>
        <v>1.3999999999999999E-6</v>
      </c>
      <c r="I13" s="253"/>
      <c r="J13" s="253"/>
      <c r="K13" s="47">
        <f>J13+0.0000024</f>
        <v>2.3999999999999999E-6</v>
      </c>
      <c r="L13" s="41">
        <v>5</v>
      </c>
      <c r="M13" s="42">
        <f t="shared" si="1"/>
        <v>4.9999999999999998E-8</v>
      </c>
      <c r="N13" s="38" t="str">
        <f t="shared" si="2"/>
        <v/>
      </c>
      <c r="O13" s="43">
        <f t="shared" si="3"/>
        <v>1.0000000099999999</v>
      </c>
      <c r="P13" s="27" t="str">
        <f t="shared" si="4"/>
        <v>Ex.: Quantidade Limitada de Materiais</v>
      </c>
      <c r="Q13" s="24">
        <f>COUNTA(C19:C23)</f>
        <v>1</v>
      </c>
      <c r="R13" s="24" t="str">
        <f>C17</f>
        <v>Causas relacionadas às Máquinas ou Equipamentos</v>
      </c>
      <c r="S13" s="49">
        <f>D24</f>
        <v>1.0000000600000001</v>
      </c>
      <c r="T13" s="24" t="str">
        <f>C17</f>
        <v>Causas relacionadas às Máquinas ou Equipamentos</v>
      </c>
      <c r="U13" s="49">
        <f>G24</f>
        <v>1.0000000015999999</v>
      </c>
      <c r="V13" s="50" t="str">
        <f>F17</f>
        <v>Causas relacionadas ao Meio Ambiente</v>
      </c>
      <c r="W13" s="45">
        <f>IF(ISERROR(LARGE($U$9:$U$14,5)),"",LARGE($U$9:$U$14,5))</f>
        <v>1.0000000099999999</v>
      </c>
      <c r="X13" s="46" t="str">
        <f t="shared" si="0"/>
        <v>Causas relacionadas aos Materiais</v>
      </c>
      <c r="Y13" s="25"/>
      <c r="Z13" s="25"/>
      <c r="AA13" s="25"/>
      <c r="AB13" s="25"/>
      <c r="AC13" s="26"/>
      <c r="AD13" s="21"/>
      <c r="AE13" s="21"/>
      <c r="AF13" s="21"/>
      <c r="AG13" s="21"/>
      <c r="AH13" s="21"/>
    </row>
    <row r="14" spans="1:34" s="54" customFormat="1" ht="30" customHeight="1" thickBot="1" x14ac:dyDescent="0.3">
      <c r="A14" s="20"/>
      <c r="B14" s="51"/>
      <c r="C14" s="253"/>
      <c r="D14" s="253"/>
      <c r="E14" s="47">
        <f>D14+0.00000005</f>
        <v>4.9999999999999998E-8</v>
      </c>
      <c r="F14" s="253"/>
      <c r="G14" s="253"/>
      <c r="H14" s="47">
        <f>G14+0.0000015</f>
        <v>1.5E-6</v>
      </c>
      <c r="I14" s="253"/>
      <c r="J14" s="253"/>
      <c r="K14" s="47">
        <f>J14+0.0000025</f>
        <v>2.5000000000000002E-6</v>
      </c>
      <c r="L14" s="41">
        <v>6</v>
      </c>
      <c r="M14" s="42">
        <f>H10</f>
        <v>1.0000011</v>
      </c>
      <c r="N14" s="38" t="str">
        <f>IF(F10="","",F10)</f>
        <v>Ex.: Método Inexistente</v>
      </c>
      <c r="O14" s="43">
        <f t="shared" si="3"/>
        <v>1.0000000015999999</v>
      </c>
      <c r="P14" s="27" t="str">
        <f t="shared" si="4"/>
        <v>Ex.: Frio Excessivo</v>
      </c>
      <c r="Q14" s="24">
        <f>COUNTA(F19:F23)</f>
        <v>1</v>
      </c>
      <c r="R14" s="24" t="str">
        <f>F17</f>
        <v>Causas relacionadas ao Meio Ambiente</v>
      </c>
      <c r="S14" s="44">
        <f>G24</f>
        <v>1.0000000015999999</v>
      </c>
      <c r="T14" s="24" t="str">
        <f>F17</f>
        <v>Causas relacionadas ao Meio Ambiente</v>
      </c>
      <c r="U14" s="44">
        <f>J24</f>
        <v>1.0000026</v>
      </c>
      <c r="V14" s="24" t="str">
        <f>I17</f>
        <v>Causas relacionadas à Medida</v>
      </c>
      <c r="W14" s="45">
        <f>IF(ISERROR(LARGE($U$9:$U$14,6)),"",LARGE($U$9:$U$14,6))</f>
        <v>1.0000000015999999</v>
      </c>
      <c r="X14" s="46" t="str">
        <f t="shared" si="0"/>
        <v>Causas relacionadas ao Meio Ambiente</v>
      </c>
      <c r="Y14" s="52"/>
      <c r="Z14" s="52"/>
      <c r="AA14" s="52"/>
      <c r="AB14" s="52"/>
      <c r="AC14" s="53"/>
      <c r="AD14" s="51"/>
      <c r="AE14" s="51"/>
      <c r="AF14" s="51"/>
      <c r="AG14" s="51"/>
      <c r="AH14" s="51"/>
    </row>
    <row r="15" spans="1:34" s="54" customFormat="1" ht="30" customHeight="1" thickTop="1" thickBot="1" x14ac:dyDescent="0.3">
      <c r="A15" s="20"/>
      <c r="B15" s="51"/>
      <c r="C15" s="55" t="s">
        <v>3</v>
      </c>
      <c r="D15" s="56">
        <f>IF(ISERROR(AVERAGEIF(E10:E14,"&gt;="&amp;1)),"",AVERAGEIF(E10:E14,"&gt;="&amp;1))</f>
        <v>1.0000000099999999</v>
      </c>
      <c r="E15" s="57"/>
      <c r="F15" s="55" t="s">
        <v>2</v>
      </c>
      <c r="G15" s="56">
        <f>IF(ISERROR(AVERAGEIF(H10:H14,"&gt;="&amp;1)),"",AVERAGEIF(H10:H14,"&gt;="&amp;1))</f>
        <v>1.0000011</v>
      </c>
      <c r="H15" s="37"/>
      <c r="I15" s="55" t="s">
        <v>2</v>
      </c>
      <c r="J15" s="56">
        <f>IF(ISERROR(AVERAGEIF(K10:K14,"&gt;="&amp;1)),"",AVERAGEIF(K10:K14,"&gt;="&amp;1))</f>
        <v>1.0000020999999999</v>
      </c>
      <c r="K15" s="23"/>
      <c r="L15" s="41">
        <v>7</v>
      </c>
      <c r="M15" s="42">
        <f t="shared" ref="M15:M18" si="5">H11</f>
        <v>1.1999999999999999E-6</v>
      </c>
      <c r="N15" s="38" t="str">
        <f t="shared" ref="N15:N18" si="6">IF(F11="","",F11)</f>
        <v/>
      </c>
      <c r="O15" s="43" t="str">
        <f t="shared" si="3"/>
        <v/>
      </c>
      <c r="P15" s="27" t="str">
        <f t="shared" si="4"/>
        <v/>
      </c>
      <c r="Q15" s="24">
        <f>COUNTA(I19:I23)</f>
        <v>1</v>
      </c>
      <c r="R15" s="24" t="str">
        <f>I17</f>
        <v>Causas relacionadas à Medida</v>
      </c>
      <c r="S15" s="44">
        <f>J24</f>
        <v>1.0000026</v>
      </c>
      <c r="T15" s="24" t="str">
        <f>I17</f>
        <v>Causas relacionadas à Medida</v>
      </c>
      <c r="U15" s="24"/>
      <c r="V15" s="24"/>
      <c r="W15" s="24"/>
      <c r="X15" s="24"/>
      <c r="Y15" s="25"/>
      <c r="Z15" s="52"/>
      <c r="AA15" s="52"/>
      <c r="AB15" s="52"/>
      <c r="AC15" s="53"/>
      <c r="AD15" s="51"/>
      <c r="AE15" s="51"/>
      <c r="AF15" s="51"/>
      <c r="AG15" s="51"/>
      <c r="AH15" s="51"/>
    </row>
    <row r="16" spans="1:34" s="23" customFormat="1" ht="21" customHeight="1" thickTop="1" thickBot="1" x14ac:dyDescent="0.3">
      <c r="A16" s="20"/>
      <c r="B16" s="21"/>
      <c r="C16" s="21"/>
      <c r="D16" s="21"/>
      <c r="F16" s="21"/>
      <c r="G16" s="21"/>
      <c r="I16" s="21"/>
      <c r="J16" s="21"/>
      <c r="L16" s="41">
        <v>8</v>
      </c>
      <c r="M16" s="42">
        <f t="shared" si="5"/>
        <v>1.3E-6</v>
      </c>
      <c r="N16" s="38" t="str">
        <f t="shared" si="6"/>
        <v/>
      </c>
      <c r="O16" s="43" t="str">
        <f t="shared" si="3"/>
        <v/>
      </c>
      <c r="P16" s="27" t="str">
        <f t="shared" si="4"/>
        <v/>
      </c>
      <c r="Q16" s="24" t="str">
        <f>IF(MAX(Q10:Q15)=LARGE(Q10:Q15,2),R17,MAX(Q10:Q15))</f>
        <v>Causas relacionadas à Medida</v>
      </c>
      <c r="R16" s="24" t="str">
        <f>IF(MAX(Q10:Q15)=LARGE(Q10:Q15,2),Q16,VLOOKUP(Q16,Q10:R15,2,0))</f>
        <v>Causas relacionadas à Medida</v>
      </c>
      <c r="S16" s="24">
        <f>IF(MAX(S10:S15)=LARGE(S10:S15,2),R17,MAX(S10:S15))</f>
        <v>1.0000026</v>
      </c>
      <c r="T16" s="24" t="str">
        <f>IF(MAX(S10:S15)=LARGE(S10:S15,2),S16,VLOOKUP(S16,S10:T15,2,0))</f>
        <v>Causas relacionadas à Medida</v>
      </c>
      <c r="U16" s="24"/>
      <c r="V16" s="24"/>
      <c r="W16" s="24"/>
      <c r="X16" s="24"/>
      <c r="Y16" s="25"/>
      <c r="Z16" s="25"/>
      <c r="AA16" s="25"/>
      <c r="AB16" s="25"/>
      <c r="AC16" s="26"/>
      <c r="AD16" s="21"/>
      <c r="AE16" s="21"/>
      <c r="AF16" s="21"/>
      <c r="AG16" s="21"/>
      <c r="AH16" s="21"/>
    </row>
    <row r="17" spans="1:34" s="23" customFormat="1" ht="30" customHeight="1" thickTop="1" thickBot="1" x14ac:dyDescent="0.3">
      <c r="A17" s="20"/>
      <c r="B17" s="21"/>
      <c r="C17" s="172" t="s">
        <v>45</v>
      </c>
      <c r="D17" s="173"/>
      <c r="E17" s="58"/>
      <c r="F17" s="172" t="s">
        <v>43</v>
      </c>
      <c r="G17" s="173"/>
      <c r="H17" s="58"/>
      <c r="I17" s="172" t="s">
        <v>44</v>
      </c>
      <c r="J17" s="173"/>
      <c r="L17" s="41">
        <v>9</v>
      </c>
      <c r="M17" s="42">
        <f t="shared" si="5"/>
        <v>1.3999999999999999E-6</v>
      </c>
      <c r="N17" s="38" t="str">
        <f t="shared" si="6"/>
        <v/>
      </c>
      <c r="O17" s="43" t="str">
        <f t="shared" si="3"/>
        <v/>
      </c>
      <c r="P17" s="27" t="str">
        <f t="shared" si="4"/>
        <v/>
      </c>
      <c r="Q17" s="50"/>
      <c r="R17" s="24" t="str">
        <f>IF(LARGE(Q10:Q15,1)=LARGE(Q10:Q15,2),IF(X9=R10,X9,IF(X9=R11,X9,IF(X9=R12,X9,IF(X9=R13,X9,IF(X9=R14,X9,IF(X9=R15,X9,X9)))))))</f>
        <v>Causas relacionadas à Medida</v>
      </c>
      <c r="S17" s="50"/>
      <c r="T17" s="50"/>
      <c r="U17" s="50"/>
      <c r="V17" s="50"/>
      <c r="W17" s="50"/>
      <c r="X17" s="50"/>
      <c r="Y17" s="25"/>
      <c r="Z17" s="25"/>
      <c r="AA17" s="25"/>
      <c r="AB17" s="25"/>
      <c r="AC17" s="26"/>
      <c r="AD17" s="21"/>
      <c r="AE17" s="21"/>
      <c r="AF17" s="21"/>
      <c r="AG17" s="21"/>
      <c r="AH17" s="21"/>
    </row>
    <row r="18" spans="1:34" s="23" customFormat="1" ht="30" customHeight="1" thickTop="1" thickBot="1" x14ac:dyDescent="0.3">
      <c r="A18" s="20"/>
      <c r="B18" s="21"/>
      <c r="C18" s="39" t="s">
        <v>0</v>
      </c>
      <c r="D18" s="39" t="s">
        <v>1</v>
      </c>
      <c r="E18" s="59"/>
      <c r="F18" s="39" t="s">
        <v>0</v>
      </c>
      <c r="G18" s="39" t="s">
        <v>1</v>
      </c>
      <c r="H18" s="59"/>
      <c r="I18" s="39" t="s">
        <v>0</v>
      </c>
      <c r="J18" s="39" t="s">
        <v>1</v>
      </c>
      <c r="K18" s="60"/>
      <c r="L18" s="41">
        <v>10</v>
      </c>
      <c r="M18" s="42">
        <f t="shared" si="5"/>
        <v>1.5E-6</v>
      </c>
      <c r="N18" s="38" t="str">
        <f t="shared" si="6"/>
        <v/>
      </c>
      <c r="O18" s="43" t="str">
        <f t="shared" si="3"/>
        <v/>
      </c>
      <c r="P18" s="27" t="str">
        <f t="shared" si="4"/>
        <v/>
      </c>
      <c r="Q18" s="50"/>
      <c r="R18" s="50"/>
      <c r="S18" s="50"/>
      <c r="T18" s="50"/>
      <c r="U18" s="50"/>
      <c r="V18" s="50"/>
      <c r="W18" s="50"/>
      <c r="X18" s="50"/>
      <c r="Y18" s="25"/>
      <c r="Z18" s="25"/>
      <c r="AA18" s="25"/>
      <c r="AB18" s="25"/>
      <c r="AC18" s="26"/>
      <c r="AD18" s="21"/>
      <c r="AE18" s="21"/>
      <c r="AF18" s="21"/>
      <c r="AG18" s="21"/>
      <c r="AH18" s="21"/>
    </row>
    <row r="19" spans="1:34" s="23" customFormat="1" ht="30" customHeight="1" thickTop="1" x14ac:dyDescent="0.25">
      <c r="A19" s="20"/>
      <c r="B19" s="21"/>
      <c r="C19" s="6" t="s">
        <v>86</v>
      </c>
      <c r="D19" s="6">
        <v>1</v>
      </c>
      <c r="E19" s="47">
        <f>D19+0.00000006</f>
        <v>1.0000000600000001</v>
      </c>
      <c r="F19" s="6" t="s">
        <v>87</v>
      </c>
      <c r="G19" s="6">
        <v>1</v>
      </c>
      <c r="H19" s="47">
        <f>G19+0.0000000016</f>
        <v>1.0000000015999999</v>
      </c>
      <c r="I19" s="6" t="s">
        <v>88</v>
      </c>
      <c r="J19" s="6">
        <v>1</v>
      </c>
      <c r="K19" s="47">
        <f>J19+0.0000026</f>
        <v>1.0000026</v>
      </c>
      <c r="L19" s="41">
        <v>11</v>
      </c>
      <c r="M19" s="42">
        <f>K10</f>
        <v>1.0000020999999999</v>
      </c>
      <c r="N19" s="38" t="str">
        <f>IF(I10="","",I10)</f>
        <v>Ex.: Funcionários Desqualificados</v>
      </c>
      <c r="O19" s="43" t="str">
        <f t="shared" si="3"/>
        <v/>
      </c>
      <c r="P19" s="27" t="str">
        <f t="shared" si="4"/>
        <v/>
      </c>
      <c r="Q19" s="24"/>
      <c r="R19" s="24"/>
      <c r="S19" s="24"/>
      <c r="T19" s="24"/>
      <c r="U19" s="24"/>
      <c r="V19" s="24"/>
      <c r="W19" s="24"/>
      <c r="X19" s="24"/>
      <c r="Y19" s="25"/>
      <c r="Z19" s="25"/>
      <c r="AA19" s="25"/>
      <c r="AB19" s="25"/>
      <c r="AC19" s="26"/>
      <c r="AD19" s="21"/>
      <c r="AE19" s="21"/>
      <c r="AF19" s="21"/>
      <c r="AG19" s="21"/>
      <c r="AH19" s="21"/>
    </row>
    <row r="20" spans="1:34" s="23" customFormat="1" ht="30" customHeight="1" x14ac:dyDescent="0.25">
      <c r="A20" s="20"/>
      <c r="B20" s="21"/>
      <c r="C20" s="253"/>
      <c r="D20" s="253"/>
      <c r="E20" s="47">
        <f>D20+0.00000007</f>
        <v>7.0000000000000005E-8</v>
      </c>
      <c r="F20" s="253"/>
      <c r="G20" s="253"/>
      <c r="H20" s="47">
        <f>G20+0.0000000017</f>
        <v>1.6999999999999999E-9</v>
      </c>
      <c r="I20" s="253"/>
      <c r="J20" s="253"/>
      <c r="K20" s="47">
        <f>J20+0.0000027</f>
        <v>2.7E-6</v>
      </c>
      <c r="L20" s="41">
        <v>12</v>
      </c>
      <c r="M20" s="42">
        <f t="shared" ref="M20:M23" si="7">K11</f>
        <v>2.2000000000000001E-6</v>
      </c>
      <c r="N20" s="38" t="str">
        <f t="shared" ref="N20:N23" si="8">IF(I11="","",I11)</f>
        <v/>
      </c>
      <c r="O20" s="43" t="str">
        <f t="shared" si="3"/>
        <v/>
      </c>
      <c r="P20" s="27" t="str">
        <f t="shared" si="4"/>
        <v/>
      </c>
      <c r="Q20" s="24"/>
      <c r="R20" s="24"/>
      <c r="S20" s="24"/>
      <c r="T20" s="24"/>
      <c r="U20" s="24"/>
      <c r="V20" s="24"/>
      <c r="W20" s="24"/>
      <c r="X20" s="24"/>
      <c r="Y20" s="52"/>
      <c r="Z20" s="25"/>
      <c r="AA20" s="25"/>
      <c r="AB20" s="25"/>
      <c r="AC20" s="26"/>
      <c r="AD20" s="21"/>
      <c r="AE20" s="21"/>
      <c r="AF20" s="21"/>
      <c r="AG20" s="21"/>
      <c r="AH20" s="21"/>
    </row>
    <row r="21" spans="1:34" s="23" customFormat="1" ht="30" customHeight="1" x14ac:dyDescent="0.25">
      <c r="A21" s="20"/>
      <c r="B21" s="21"/>
      <c r="C21" s="253"/>
      <c r="D21" s="253"/>
      <c r="E21" s="47">
        <f>D21+0.00000008</f>
        <v>8.0000000000000002E-8</v>
      </c>
      <c r="F21" s="253"/>
      <c r="G21" s="253"/>
      <c r="H21" s="47">
        <f>G21+0.0000000018</f>
        <v>1.8E-9</v>
      </c>
      <c r="I21" s="253"/>
      <c r="J21" s="253"/>
      <c r="K21" s="47">
        <f>J21+0.0000028</f>
        <v>2.7999999999999999E-6</v>
      </c>
      <c r="L21" s="41">
        <v>13</v>
      </c>
      <c r="M21" s="42">
        <f t="shared" si="7"/>
        <v>2.3E-6</v>
      </c>
      <c r="N21" s="38" t="str">
        <f t="shared" si="8"/>
        <v/>
      </c>
      <c r="O21" s="43" t="str">
        <f t="shared" si="3"/>
        <v/>
      </c>
      <c r="P21" s="27" t="str">
        <f t="shared" si="4"/>
        <v/>
      </c>
      <c r="Q21" s="24"/>
      <c r="R21" s="24"/>
      <c r="S21" s="24"/>
      <c r="T21" s="24"/>
      <c r="U21" s="24"/>
      <c r="V21" s="24"/>
      <c r="W21" s="24"/>
      <c r="X21" s="24"/>
      <c r="Y21" s="25"/>
      <c r="Z21" s="25"/>
      <c r="AA21" s="25"/>
      <c r="AB21" s="25"/>
      <c r="AC21" s="26"/>
      <c r="AD21" s="21"/>
      <c r="AE21" s="21"/>
      <c r="AF21" s="21"/>
      <c r="AG21" s="21"/>
      <c r="AH21" s="21"/>
    </row>
    <row r="22" spans="1:34" s="23" customFormat="1" ht="30" customHeight="1" x14ac:dyDescent="0.25">
      <c r="A22" s="20"/>
      <c r="B22" s="21"/>
      <c r="C22" s="253"/>
      <c r="D22" s="253"/>
      <c r="E22" s="47">
        <f>D22+0.00000009</f>
        <v>8.9999999999999999E-8</v>
      </c>
      <c r="F22" s="253"/>
      <c r="G22" s="253"/>
      <c r="H22" s="47">
        <f>G22+0.0000000019</f>
        <v>1.9000000000000001E-9</v>
      </c>
      <c r="I22" s="253"/>
      <c r="J22" s="253"/>
      <c r="K22" s="47">
        <f>J22+0.0000029</f>
        <v>2.9000000000000002E-6</v>
      </c>
      <c r="L22" s="41">
        <v>14</v>
      </c>
      <c r="M22" s="42">
        <f t="shared" si="7"/>
        <v>2.3999999999999999E-6</v>
      </c>
      <c r="N22" s="38" t="str">
        <f t="shared" si="8"/>
        <v/>
      </c>
      <c r="O22" s="43" t="str">
        <f t="shared" si="3"/>
        <v/>
      </c>
      <c r="P22" s="27" t="str">
        <f t="shared" si="4"/>
        <v/>
      </c>
      <c r="Q22" s="24"/>
      <c r="R22" s="24"/>
      <c r="S22" s="24"/>
      <c r="T22" s="24"/>
      <c r="U22" s="24"/>
      <c r="V22" s="24"/>
      <c r="W22" s="24"/>
      <c r="X22" s="24"/>
      <c r="Y22" s="25"/>
      <c r="Z22" s="25"/>
      <c r="AA22" s="25"/>
      <c r="AB22" s="25"/>
      <c r="AC22" s="26"/>
      <c r="AD22" s="21"/>
      <c r="AE22" s="21"/>
      <c r="AF22" s="21"/>
      <c r="AG22" s="21"/>
      <c r="AH22" s="21"/>
    </row>
    <row r="23" spans="1:34" s="23" customFormat="1" ht="30" customHeight="1" thickBot="1" x14ac:dyDescent="0.3">
      <c r="A23" s="20"/>
      <c r="B23" s="21"/>
      <c r="C23" s="253"/>
      <c r="D23" s="253"/>
      <c r="E23" s="47">
        <f>D23+0.0000001</f>
        <v>9.9999999999999995E-8</v>
      </c>
      <c r="F23" s="253"/>
      <c r="G23" s="253"/>
      <c r="H23" s="47">
        <f>G23+0.000000002</f>
        <v>2.0000000000000001E-9</v>
      </c>
      <c r="I23" s="253"/>
      <c r="J23" s="253"/>
      <c r="K23" s="47">
        <f>J23+0.000003</f>
        <v>3.0000000000000001E-6</v>
      </c>
      <c r="L23" s="41">
        <v>15</v>
      </c>
      <c r="M23" s="42">
        <f t="shared" si="7"/>
        <v>2.5000000000000002E-6</v>
      </c>
      <c r="N23" s="38" t="str">
        <f t="shared" si="8"/>
        <v/>
      </c>
      <c r="O23" s="43" t="str">
        <f t="shared" si="3"/>
        <v/>
      </c>
      <c r="P23" s="27" t="str">
        <f t="shared" si="4"/>
        <v/>
      </c>
      <c r="Q23" s="24"/>
      <c r="R23" s="24"/>
      <c r="S23" s="24"/>
      <c r="T23" s="24"/>
      <c r="U23" s="24"/>
      <c r="V23" s="24"/>
      <c r="W23" s="24"/>
      <c r="X23" s="24"/>
      <c r="Y23" s="25"/>
      <c r="Z23" s="25"/>
      <c r="AA23" s="25"/>
      <c r="AB23" s="25"/>
      <c r="AC23" s="26"/>
      <c r="AD23" s="21"/>
      <c r="AE23" s="21"/>
      <c r="AF23" s="21"/>
      <c r="AG23" s="21"/>
      <c r="AH23" s="21"/>
    </row>
    <row r="24" spans="1:34" s="54" customFormat="1" ht="30" customHeight="1" thickTop="1" thickBot="1" x14ac:dyDescent="0.3">
      <c r="A24" s="20"/>
      <c r="B24" s="51"/>
      <c r="C24" s="55" t="s">
        <v>3</v>
      </c>
      <c r="D24" s="56">
        <f>IF(ISERROR(AVERAGEIF(E19:E23,"&gt;="&amp;1)),"",AVERAGEIF(E19:E23,"&gt;="&amp;1))</f>
        <v>1.0000000600000001</v>
      </c>
      <c r="E24" s="61"/>
      <c r="F24" s="55" t="s">
        <v>3</v>
      </c>
      <c r="G24" s="56">
        <f>IF(ISERROR(AVERAGEIF(H19:H23,"&gt;="&amp;1)),"",AVERAGEIF(H19:H23,"&gt;="&amp;1))</f>
        <v>1.0000000015999999</v>
      </c>
      <c r="H24" s="57"/>
      <c r="I24" s="55" t="s">
        <v>3</v>
      </c>
      <c r="J24" s="56">
        <f>IF(ISERROR(AVERAGEIF(K19:K23,"&gt;="&amp;1)),"",AVERAGEIF(K19:K23,"&gt;="&amp;1))</f>
        <v>1.0000026</v>
      </c>
      <c r="K24" s="31"/>
      <c r="L24" s="41">
        <v>16</v>
      </c>
      <c r="M24" s="42">
        <f>E19</f>
        <v>1.0000000600000001</v>
      </c>
      <c r="N24" s="38" t="str">
        <f>IF(C19="","",C19)</f>
        <v>Ex.: Máquinas sujas</v>
      </c>
      <c r="O24" s="43" t="str">
        <f t="shared" si="3"/>
        <v/>
      </c>
      <c r="P24" s="27" t="str">
        <f t="shared" si="4"/>
        <v/>
      </c>
      <c r="Q24" s="27"/>
      <c r="R24" s="27"/>
      <c r="S24" s="27"/>
      <c r="T24" s="27"/>
      <c r="U24" s="27"/>
      <c r="V24" s="27"/>
      <c r="W24" s="27"/>
      <c r="X24" s="27"/>
      <c r="Y24" s="25"/>
      <c r="Z24" s="52"/>
      <c r="AA24" s="52"/>
      <c r="AB24" s="52"/>
      <c r="AC24" s="53"/>
      <c r="AD24" s="51"/>
      <c r="AE24" s="51"/>
      <c r="AF24" s="51"/>
      <c r="AG24" s="51"/>
      <c r="AH24" s="51"/>
    </row>
    <row r="25" spans="1:34" s="54" customFormat="1" ht="30" customHeight="1" thickTop="1" x14ac:dyDescent="0.25">
      <c r="A25" s="20"/>
      <c r="B25" s="51"/>
      <c r="C25" s="61"/>
      <c r="D25" s="61"/>
      <c r="E25" s="61"/>
      <c r="F25" s="61"/>
      <c r="G25" s="61"/>
      <c r="H25" s="61"/>
      <c r="I25" s="62"/>
      <c r="J25" s="61"/>
      <c r="K25" s="31"/>
      <c r="L25" s="41">
        <v>17</v>
      </c>
      <c r="M25" s="42">
        <f t="shared" ref="M25:M28" si="9">E20</f>
        <v>7.0000000000000005E-8</v>
      </c>
      <c r="N25" s="38" t="str">
        <f t="shared" ref="N25:N28" si="10">IF(C20="","",C20)</f>
        <v/>
      </c>
      <c r="O25" s="43" t="str">
        <f t="shared" si="3"/>
        <v/>
      </c>
      <c r="P25" s="27" t="str">
        <f t="shared" si="4"/>
        <v/>
      </c>
      <c r="Q25" s="27"/>
      <c r="R25" s="27"/>
      <c r="S25" s="27"/>
      <c r="T25" s="27"/>
      <c r="U25" s="27"/>
      <c r="V25" s="27"/>
      <c r="W25" s="27"/>
      <c r="X25" s="27"/>
      <c r="Y25" s="25"/>
      <c r="Z25" s="52"/>
      <c r="AA25" s="52"/>
      <c r="AB25" s="52"/>
      <c r="AC25" s="53"/>
      <c r="AD25" s="51"/>
      <c r="AE25" s="51"/>
      <c r="AF25" s="51"/>
      <c r="AG25" s="51"/>
      <c r="AH25" s="51"/>
    </row>
    <row r="26" spans="1:34" x14ac:dyDescent="0.25">
      <c r="L26" s="41">
        <v>18</v>
      </c>
      <c r="M26" s="42">
        <f t="shared" si="9"/>
        <v>8.0000000000000002E-8</v>
      </c>
      <c r="N26" s="38" t="str">
        <f t="shared" si="10"/>
        <v/>
      </c>
      <c r="O26" s="43" t="str">
        <f t="shared" si="3"/>
        <v/>
      </c>
      <c r="P26" s="27" t="str">
        <f t="shared" si="4"/>
        <v/>
      </c>
    </row>
    <row r="27" spans="1:34" x14ac:dyDescent="0.25">
      <c r="L27" s="41">
        <v>19</v>
      </c>
      <c r="M27" s="42">
        <f t="shared" si="9"/>
        <v>8.9999999999999999E-8</v>
      </c>
      <c r="N27" s="38" t="str">
        <f t="shared" si="10"/>
        <v/>
      </c>
      <c r="O27" s="43" t="str">
        <f t="shared" si="3"/>
        <v/>
      </c>
      <c r="P27" s="27" t="str">
        <f t="shared" si="4"/>
        <v/>
      </c>
    </row>
    <row r="28" spans="1:34" x14ac:dyDescent="0.25">
      <c r="L28" s="41">
        <v>20</v>
      </c>
      <c r="M28" s="42">
        <f t="shared" si="9"/>
        <v>9.9999999999999995E-8</v>
      </c>
      <c r="N28" s="38" t="str">
        <f t="shared" si="10"/>
        <v/>
      </c>
      <c r="O28" s="43" t="str">
        <f t="shared" si="3"/>
        <v/>
      </c>
      <c r="P28" s="27" t="str">
        <f t="shared" si="4"/>
        <v/>
      </c>
    </row>
    <row r="29" spans="1:34" x14ac:dyDescent="0.25">
      <c r="L29" s="41">
        <v>21</v>
      </c>
      <c r="M29" s="42">
        <f>H19</f>
        <v>1.0000000015999999</v>
      </c>
      <c r="N29" s="38" t="str">
        <f>IF(F19="","",F19)</f>
        <v>Ex.: Frio Excessivo</v>
      </c>
      <c r="O29" s="43" t="str">
        <f t="shared" si="3"/>
        <v/>
      </c>
      <c r="P29" s="27" t="str">
        <f t="shared" si="4"/>
        <v/>
      </c>
    </row>
    <row r="30" spans="1:34" x14ac:dyDescent="0.25">
      <c r="L30" s="41">
        <v>22</v>
      </c>
      <c r="M30" s="42">
        <f t="shared" ref="M30:M33" si="11">H20</f>
        <v>1.6999999999999999E-9</v>
      </c>
      <c r="N30" s="38" t="str">
        <f t="shared" ref="N30:N33" si="12">IF(F20="","",F20)</f>
        <v/>
      </c>
      <c r="O30" s="43" t="str">
        <f t="shared" si="3"/>
        <v/>
      </c>
      <c r="P30" s="27" t="str">
        <f t="shared" si="4"/>
        <v/>
      </c>
    </row>
    <row r="31" spans="1:34" x14ac:dyDescent="0.25">
      <c r="L31" s="41">
        <v>23</v>
      </c>
      <c r="M31" s="42">
        <f t="shared" si="11"/>
        <v>1.8E-9</v>
      </c>
      <c r="N31" s="38" t="str">
        <f t="shared" si="12"/>
        <v/>
      </c>
      <c r="O31" s="43" t="str">
        <f t="shared" si="3"/>
        <v/>
      </c>
      <c r="P31" s="27" t="str">
        <f t="shared" si="4"/>
        <v/>
      </c>
    </row>
    <row r="32" spans="1:34" x14ac:dyDescent="0.25">
      <c r="L32" s="41">
        <v>24</v>
      </c>
      <c r="M32" s="42">
        <f t="shared" si="11"/>
        <v>1.9000000000000001E-9</v>
      </c>
      <c r="N32" s="38" t="str">
        <f t="shared" si="12"/>
        <v/>
      </c>
      <c r="O32" s="43" t="str">
        <f t="shared" si="3"/>
        <v/>
      </c>
      <c r="P32" s="27" t="str">
        <f t="shared" si="4"/>
        <v/>
      </c>
    </row>
    <row r="33" spans="2:16" x14ac:dyDescent="0.25">
      <c r="L33" s="41">
        <v>25</v>
      </c>
      <c r="M33" s="42">
        <f t="shared" si="11"/>
        <v>2.0000000000000001E-9</v>
      </c>
      <c r="N33" s="38" t="str">
        <f t="shared" si="12"/>
        <v/>
      </c>
      <c r="O33" s="43" t="str">
        <f t="shared" si="3"/>
        <v/>
      </c>
      <c r="P33" s="27" t="str">
        <f t="shared" si="4"/>
        <v/>
      </c>
    </row>
    <row r="34" spans="2:16" x14ac:dyDescent="0.25">
      <c r="L34" s="41">
        <v>26</v>
      </c>
      <c r="M34" s="42">
        <f>K19</f>
        <v>1.0000026</v>
      </c>
      <c r="N34" s="38" t="str">
        <f>IF(I19="","",I19)</f>
        <v>Ex.: Inexistencia de Medidores</v>
      </c>
      <c r="O34" s="43" t="str">
        <f t="shared" si="3"/>
        <v/>
      </c>
      <c r="P34" s="27" t="str">
        <f t="shared" si="4"/>
        <v/>
      </c>
    </row>
    <row r="35" spans="2:16" x14ac:dyDescent="0.25">
      <c r="B35" s="31"/>
      <c r="C35" s="31"/>
      <c r="D35" s="31"/>
      <c r="F35" s="31"/>
      <c r="G35" s="31"/>
      <c r="I35" s="31"/>
      <c r="J35" s="31"/>
      <c r="L35" s="41">
        <v>27</v>
      </c>
      <c r="M35" s="42">
        <f t="shared" ref="M35:M38" si="13">K20</f>
        <v>2.7E-6</v>
      </c>
      <c r="N35" s="38" t="str">
        <f t="shared" ref="N35:N38" si="14">IF(I20="","",I20)</f>
        <v/>
      </c>
      <c r="O35" s="43" t="str">
        <f t="shared" si="3"/>
        <v/>
      </c>
      <c r="P35" s="27" t="str">
        <f t="shared" si="4"/>
        <v/>
      </c>
    </row>
    <row r="36" spans="2:16" x14ac:dyDescent="0.25">
      <c r="B36" s="31"/>
      <c r="C36" s="31"/>
      <c r="D36" s="31"/>
      <c r="F36" s="31"/>
      <c r="G36" s="31"/>
      <c r="I36" s="31"/>
      <c r="J36" s="31"/>
      <c r="L36" s="41">
        <v>28</v>
      </c>
      <c r="M36" s="42">
        <f t="shared" si="13"/>
        <v>2.7999999999999999E-6</v>
      </c>
      <c r="N36" s="38" t="str">
        <f t="shared" si="14"/>
        <v/>
      </c>
      <c r="O36" s="43" t="str">
        <f t="shared" si="3"/>
        <v/>
      </c>
      <c r="P36" s="27" t="str">
        <f t="shared" si="4"/>
        <v/>
      </c>
    </row>
    <row r="37" spans="2:16" x14ac:dyDescent="0.25">
      <c r="B37" s="31"/>
      <c r="C37" s="31"/>
      <c r="D37" s="31"/>
      <c r="F37" s="31"/>
      <c r="G37" s="31"/>
      <c r="I37" s="31"/>
      <c r="J37" s="31"/>
      <c r="L37" s="41">
        <v>29</v>
      </c>
      <c r="M37" s="42">
        <f t="shared" si="13"/>
        <v>2.9000000000000002E-6</v>
      </c>
      <c r="N37" s="38" t="str">
        <f t="shared" si="14"/>
        <v/>
      </c>
      <c r="O37" s="43" t="str">
        <f t="shared" si="3"/>
        <v/>
      </c>
      <c r="P37" s="27" t="str">
        <f t="shared" si="4"/>
        <v/>
      </c>
    </row>
    <row r="38" spans="2:16" x14ac:dyDescent="0.25">
      <c r="L38" s="41">
        <v>30</v>
      </c>
      <c r="M38" s="42">
        <f t="shared" si="13"/>
        <v>3.0000000000000001E-6</v>
      </c>
      <c r="N38" s="38" t="str">
        <f t="shared" si="14"/>
        <v/>
      </c>
      <c r="O38" s="43" t="str">
        <f t="shared" si="3"/>
        <v/>
      </c>
      <c r="P38" s="27" t="str">
        <f t="shared" si="4"/>
        <v/>
      </c>
    </row>
  </sheetData>
  <sheetProtection password="9084" sheet="1" objects="1" scenarios="1" selectLockedCells="1"/>
  <mergeCells count="7">
    <mergeCell ref="D6:G6"/>
    <mergeCell ref="C17:D17"/>
    <mergeCell ref="F17:G17"/>
    <mergeCell ref="I17:J17"/>
    <mergeCell ref="C8:D8"/>
    <mergeCell ref="F8:G8"/>
    <mergeCell ref="I8:J8"/>
  </mergeCells>
  <dataValidations count="1">
    <dataValidation type="list" allowBlank="1" showInputMessage="1" showErrorMessage="1" sqref="D10:D14 G10:G14 J10:J14 D19:D23 G19:G23 J19:J23">
      <formula1>"1,2,3,4,5,6,7,8,9,10"</formula1>
    </dataValidation>
  </dataValidations>
  <pageMargins left="0.511811024" right="0.511811024" top="0.78740157499999996" bottom="0.78740157499999996" header="0.31496062000000002" footer="0.31496062000000002"/>
  <pageSetup paperSize="9" scale="3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97"/>
  <sheetViews>
    <sheetView showGridLines="0" zoomScaleNormal="100" workbookViewId="0">
      <selection activeCell="D8" sqref="D8"/>
    </sheetView>
  </sheetViews>
  <sheetFormatPr defaultColWidth="8.85546875" defaultRowHeight="15" x14ac:dyDescent="0.25"/>
  <cols>
    <col min="1" max="1" width="1.7109375" style="63" customWidth="1"/>
    <col min="2" max="2" width="1.7109375" style="31" customWidth="1"/>
    <col min="3" max="3" width="9.5703125" style="63" bestFit="1" customWidth="1"/>
    <col min="4" max="6" width="44.28515625" style="63" customWidth="1"/>
    <col min="7" max="7" width="21.7109375" style="63" customWidth="1"/>
    <col min="8" max="8" width="14.28515625" style="63" customWidth="1"/>
    <col min="9" max="9" width="8.85546875" style="31" hidden="1" customWidth="1"/>
    <col min="10" max="31" width="8.85546875" style="20" customWidth="1"/>
    <col min="32" max="40" width="8.85546875" style="63" customWidth="1"/>
    <col min="41" max="16384" width="8.85546875" style="63"/>
  </cols>
  <sheetData>
    <row r="1" spans="1:31" s="14" customFormat="1" ht="30" customHeight="1" x14ac:dyDescent="0.25"/>
    <row r="2" spans="1:31" s="16" customFormat="1" ht="24.95" customHeight="1" x14ac:dyDescent="0.25"/>
    <row r="3" spans="1:31" s="18" customFormat="1" ht="20.100000000000001" customHeight="1" x14ac:dyDescent="0.25"/>
    <row r="4" spans="1:31" ht="23.25" x14ac:dyDescent="0.25">
      <c r="C4" s="64" t="s">
        <v>128</v>
      </c>
      <c r="D4" s="65"/>
      <c r="E4" s="66"/>
      <c r="F4" s="66"/>
      <c r="G4" s="66"/>
      <c r="H4" s="66"/>
      <c r="I4" s="67"/>
      <c r="J4" s="68"/>
      <c r="K4" s="68"/>
      <c r="L4" s="68"/>
      <c r="M4" s="68"/>
    </row>
    <row r="5" spans="1:31" ht="20.100000000000001" customHeight="1" thickBot="1" x14ac:dyDescent="0.3">
      <c r="E5" s="31"/>
      <c r="F5" s="31"/>
    </row>
    <row r="6" spans="1:31" s="71" customFormat="1" ht="31.5" customHeight="1" thickTop="1" thickBot="1" x14ac:dyDescent="0.3">
      <c r="A6" s="63"/>
      <c r="B6" s="23"/>
      <c r="C6" s="69" t="s">
        <v>19</v>
      </c>
      <c r="D6" s="70" t="s">
        <v>9</v>
      </c>
      <c r="E6" s="70" t="s">
        <v>5</v>
      </c>
      <c r="F6" s="70" t="s">
        <v>6</v>
      </c>
      <c r="G6" s="69" t="s">
        <v>7</v>
      </c>
      <c r="H6" s="69" t="s">
        <v>10</v>
      </c>
      <c r="I6" s="23"/>
      <c r="J6" s="21"/>
      <c r="K6" s="21"/>
      <c r="L6" s="21"/>
      <c r="M6" s="21"/>
      <c r="N6" s="21"/>
      <c r="O6" s="21"/>
      <c r="P6" s="21"/>
      <c r="Q6" s="21"/>
      <c r="R6" s="21"/>
      <c r="S6" s="21"/>
      <c r="T6" s="21"/>
      <c r="U6" s="21"/>
      <c r="V6" s="21"/>
      <c r="W6" s="21"/>
      <c r="X6" s="21"/>
      <c r="Y6" s="21"/>
      <c r="Z6" s="21"/>
      <c r="AA6" s="21"/>
      <c r="AB6" s="21"/>
      <c r="AC6" s="21"/>
      <c r="AD6" s="21"/>
      <c r="AE6" s="21"/>
    </row>
    <row r="7" spans="1:31" s="71" customFormat="1" ht="31.5" customHeight="1" thickTop="1" thickBot="1" x14ac:dyDescent="0.3">
      <c r="A7" s="63"/>
      <c r="B7" s="23"/>
      <c r="C7" s="72" t="s">
        <v>89</v>
      </c>
      <c r="D7" s="73" t="s">
        <v>90</v>
      </c>
      <c r="E7" s="74" t="s">
        <v>91</v>
      </c>
      <c r="F7" s="74" t="s">
        <v>92</v>
      </c>
      <c r="G7" s="75">
        <v>41932</v>
      </c>
      <c r="H7" s="76">
        <v>3</v>
      </c>
      <c r="I7" s="23"/>
      <c r="J7" s="21"/>
      <c r="K7" s="21"/>
      <c r="L7" s="21"/>
      <c r="M7" s="21"/>
      <c r="N7" s="21"/>
      <c r="O7" s="21"/>
      <c r="P7" s="21"/>
      <c r="Q7" s="21"/>
      <c r="R7" s="21"/>
      <c r="S7" s="21"/>
      <c r="T7" s="21"/>
      <c r="U7" s="21"/>
      <c r="V7" s="21"/>
      <c r="W7" s="21"/>
      <c r="X7" s="21"/>
      <c r="Y7" s="21"/>
      <c r="Z7" s="21"/>
      <c r="AA7" s="21"/>
      <c r="AB7" s="21"/>
      <c r="AC7" s="21"/>
      <c r="AD7" s="21"/>
      <c r="AE7" s="21"/>
    </row>
    <row r="8" spans="1:31" s="71" customFormat="1" ht="44.1" customHeight="1" thickTop="1" thickBot="1" x14ac:dyDescent="0.3">
      <c r="A8" s="63"/>
      <c r="B8" s="23" t="str">
        <f>E8</f>
        <v>Rever necessidade de ferramentas</v>
      </c>
      <c r="C8" s="77">
        <v>1</v>
      </c>
      <c r="D8" s="4" t="s">
        <v>67</v>
      </c>
      <c r="E8" s="5" t="s">
        <v>72</v>
      </c>
      <c r="F8" s="6" t="s">
        <v>78</v>
      </c>
      <c r="G8" s="3">
        <v>41955</v>
      </c>
      <c r="H8" s="2">
        <v>15</v>
      </c>
      <c r="I8" s="23" t="str">
        <f>IF(Plan!C11=0,"",Plan!C11)</f>
        <v/>
      </c>
      <c r="J8" s="21"/>
      <c r="K8" s="21"/>
      <c r="L8" s="21"/>
      <c r="M8" s="21"/>
      <c r="N8" s="21"/>
      <c r="O8" s="21"/>
      <c r="P8" s="21"/>
      <c r="Q8" s="21"/>
      <c r="R8" s="21"/>
      <c r="S8" s="21"/>
      <c r="T8" s="21"/>
      <c r="U8" s="21"/>
      <c r="V8" s="21"/>
      <c r="W8" s="21"/>
      <c r="X8" s="21"/>
      <c r="Y8" s="21"/>
      <c r="Z8" s="21"/>
      <c r="AA8" s="21"/>
      <c r="AB8" s="21"/>
      <c r="AC8" s="21"/>
      <c r="AD8" s="21"/>
      <c r="AE8" s="21"/>
    </row>
    <row r="9" spans="1:31" s="71" customFormat="1" ht="44.1" customHeight="1" thickTop="1" thickBot="1" x14ac:dyDescent="0.3">
      <c r="A9" s="63"/>
      <c r="B9" s="23" t="str">
        <f t="shared" ref="B9:B72" si="0">E9</f>
        <v>Comprar ferramentas novas</v>
      </c>
      <c r="C9" s="77">
        <v>2</v>
      </c>
      <c r="D9" s="4" t="s">
        <v>68</v>
      </c>
      <c r="E9" s="5" t="s">
        <v>73</v>
      </c>
      <c r="F9" s="6" t="s">
        <v>74</v>
      </c>
      <c r="G9" s="3">
        <v>41958</v>
      </c>
      <c r="H9" s="2">
        <v>30</v>
      </c>
      <c r="I9" s="23" t="str">
        <f>IF(Plan!C12=0,"",Plan!C12)</f>
        <v/>
      </c>
      <c r="J9" s="21"/>
      <c r="K9" s="21"/>
      <c r="L9" s="21"/>
      <c r="M9" s="21"/>
      <c r="N9" s="21"/>
      <c r="O9" s="21"/>
      <c r="P9" s="21"/>
      <c r="Q9" s="21"/>
      <c r="R9" s="21"/>
      <c r="S9" s="21"/>
      <c r="T9" s="21"/>
      <c r="U9" s="21"/>
      <c r="V9" s="21"/>
      <c r="W9" s="21"/>
      <c r="X9" s="21"/>
      <c r="Y9" s="21"/>
      <c r="Z9" s="21"/>
      <c r="AA9" s="21"/>
      <c r="AB9" s="21"/>
      <c r="AC9" s="21"/>
      <c r="AD9" s="21"/>
      <c r="AE9" s="21"/>
    </row>
    <row r="10" spans="1:31" s="71" customFormat="1" ht="44.1" customHeight="1" thickTop="1" thickBot="1" x14ac:dyDescent="0.3">
      <c r="A10" s="63"/>
      <c r="B10" s="23" t="str">
        <f t="shared" si="0"/>
        <v>Rever processo</v>
      </c>
      <c r="C10" s="77">
        <v>3</v>
      </c>
      <c r="D10" s="4" t="s">
        <v>69</v>
      </c>
      <c r="E10" s="5" t="s">
        <v>75</v>
      </c>
      <c r="F10" s="6" t="s">
        <v>76</v>
      </c>
      <c r="G10" s="3">
        <v>41959</v>
      </c>
      <c r="H10" s="2">
        <v>18</v>
      </c>
      <c r="I10" s="23" t="str">
        <f>IF(Plan!C13=0,"",Plan!C13)</f>
        <v/>
      </c>
      <c r="J10" s="21"/>
      <c r="K10" s="21"/>
      <c r="L10" s="21"/>
      <c r="M10" s="21"/>
      <c r="N10" s="21"/>
      <c r="O10" s="21"/>
      <c r="P10" s="21"/>
      <c r="Q10" s="21"/>
      <c r="R10" s="21"/>
      <c r="S10" s="21"/>
      <c r="T10" s="21"/>
      <c r="U10" s="21"/>
      <c r="V10" s="21"/>
      <c r="W10" s="21"/>
      <c r="X10" s="21"/>
      <c r="Y10" s="21"/>
      <c r="Z10" s="21"/>
      <c r="AA10" s="21"/>
      <c r="AB10" s="21"/>
      <c r="AC10" s="21"/>
      <c r="AD10" s="21"/>
      <c r="AE10" s="21"/>
    </row>
    <row r="11" spans="1:31" s="71" customFormat="1" ht="44.1" customHeight="1" thickTop="1" thickBot="1" x14ac:dyDescent="0.3">
      <c r="A11" s="63"/>
      <c r="B11" s="23" t="str">
        <f t="shared" si="0"/>
        <v>Treinar funcionários</v>
      </c>
      <c r="C11" s="77">
        <v>4</v>
      </c>
      <c r="D11" s="4" t="s">
        <v>70</v>
      </c>
      <c r="E11" s="5" t="s">
        <v>34</v>
      </c>
      <c r="F11" s="6" t="s">
        <v>77</v>
      </c>
      <c r="G11" s="3">
        <v>41959</v>
      </c>
      <c r="H11" s="2">
        <v>5</v>
      </c>
      <c r="I11" s="23" t="str">
        <f>IF(Plan!C14=0,"",Plan!C14)</f>
        <v/>
      </c>
      <c r="J11" s="21"/>
      <c r="K11" s="21"/>
      <c r="L11" s="21"/>
      <c r="M11" s="21"/>
      <c r="N11" s="21"/>
      <c r="O11" s="21"/>
      <c r="P11" s="21"/>
      <c r="Q11" s="21"/>
      <c r="R11" s="21"/>
      <c r="S11" s="21"/>
      <c r="T11" s="21"/>
      <c r="U11" s="21"/>
      <c r="V11" s="21"/>
      <c r="W11" s="21"/>
      <c r="X11" s="21"/>
      <c r="Y11" s="21"/>
      <c r="Z11" s="21"/>
      <c r="AA11" s="21"/>
      <c r="AB11" s="21"/>
      <c r="AC11" s="21"/>
      <c r="AD11" s="21"/>
      <c r="AE11" s="21"/>
    </row>
    <row r="12" spans="1:31" s="71" customFormat="1" ht="44.1" customHeight="1" thickTop="1" thickBot="1" x14ac:dyDescent="0.3">
      <c r="A12" s="63"/>
      <c r="B12" s="23" t="str">
        <f t="shared" si="0"/>
        <v>Realizar manutenção das máquinas</v>
      </c>
      <c r="C12" s="77">
        <v>5</v>
      </c>
      <c r="D12" s="4" t="s">
        <v>71</v>
      </c>
      <c r="E12" s="5" t="s">
        <v>79</v>
      </c>
      <c r="F12" s="6" t="s">
        <v>78</v>
      </c>
      <c r="G12" s="3">
        <v>41959</v>
      </c>
      <c r="H12" s="2">
        <v>30</v>
      </c>
      <c r="I12" s="23" t="str">
        <f>IF(Plan!F11=0,"",Plan!F11)</f>
        <v/>
      </c>
      <c r="J12" s="21"/>
      <c r="K12" s="21"/>
      <c r="L12" s="21"/>
      <c r="M12" s="21"/>
      <c r="N12" s="21"/>
      <c r="O12" s="21"/>
      <c r="P12" s="21"/>
      <c r="Q12" s="21"/>
      <c r="R12" s="21"/>
      <c r="S12" s="21"/>
      <c r="T12" s="21"/>
      <c r="U12" s="21"/>
      <c r="V12" s="21"/>
      <c r="W12" s="21"/>
      <c r="X12" s="21"/>
      <c r="Y12" s="21"/>
      <c r="Z12" s="21"/>
      <c r="AA12" s="21"/>
      <c r="AB12" s="21"/>
      <c r="AC12" s="21"/>
      <c r="AD12" s="21"/>
      <c r="AE12" s="21"/>
    </row>
    <row r="13" spans="1:31" s="71" customFormat="1" ht="44.1" customHeight="1" thickTop="1" thickBot="1" x14ac:dyDescent="0.3">
      <c r="A13" s="63"/>
      <c r="B13" s="23">
        <f t="shared" si="0"/>
        <v>0</v>
      </c>
      <c r="C13" s="77">
        <v>6</v>
      </c>
      <c r="D13" s="254"/>
      <c r="E13" s="255"/>
      <c r="F13" s="253"/>
      <c r="G13" s="256"/>
      <c r="H13" s="257"/>
      <c r="I13" s="23" t="str">
        <f>IF(Plan!F12=0,"",Plan!F12)</f>
        <v/>
      </c>
      <c r="J13" s="21"/>
      <c r="K13" s="21"/>
      <c r="L13" s="21"/>
      <c r="M13" s="21"/>
      <c r="N13" s="21"/>
      <c r="O13" s="21"/>
      <c r="P13" s="21"/>
      <c r="Q13" s="21"/>
      <c r="R13" s="21"/>
      <c r="S13" s="21"/>
      <c r="T13" s="21"/>
      <c r="U13" s="21"/>
      <c r="V13" s="21"/>
      <c r="W13" s="21"/>
      <c r="X13" s="21"/>
      <c r="Y13" s="21"/>
      <c r="Z13" s="21"/>
      <c r="AA13" s="21"/>
      <c r="AB13" s="21"/>
      <c r="AC13" s="21"/>
      <c r="AD13" s="21"/>
      <c r="AE13" s="21"/>
    </row>
    <row r="14" spans="1:31" s="71" customFormat="1" ht="44.1" customHeight="1" thickTop="1" thickBot="1" x14ac:dyDescent="0.3">
      <c r="A14" s="63"/>
      <c r="B14" s="23">
        <f t="shared" si="0"/>
        <v>0</v>
      </c>
      <c r="C14" s="77">
        <v>7</v>
      </c>
      <c r="D14" s="254"/>
      <c r="E14" s="255"/>
      <c r="F14" s="253"/>
      <c r="G14" s="256"/>
      <c r="H14" s="257"/>
      <c r="I14" s="23" t="str">
        <f>IF(Plan!F13=0,"",Plan!F13)</f>
        <v/>
      </c>
      <c r="J14" s="21"/>
      <c r="K14" s="21"/>
      <c r="L14" s="21"/>
      <c r="M14" s="21"/>
      <c r="N14" s="21"/>
      <c r="O14" s="21"/>
      <c r="P14" s="21"/>
      <c r="Q14" s="21"/>
      <c r="R14" s="21"/>
      <c r="S14" s="21"/>
      <c r="T14" s="21"/>
      <c r="U14" s="21"/>
      <c r="V14" s="21"/>
      <c r="W14" s="21"/>
      <c r="X14" s="21"/>
      <c r="Y14" s="21"/>
      <c r="Z14" s="21"/>
      <c r="AA14" s="21"/>
      <c r="AB14" s="21"/>
      <c r="AC14" s="21"/>
      <c r="AD14" s="21"/>
      <c r="AE14" s="21"/>
    </row>
    <row r="15" spans="1:31" s="79" customFormat="1" ht="44.1" customHeight="1" thickTop="1" thickBot="1" x14ac:dyDescent="0.3">
      <c r="A15" s="78"/>
      <c r="B15" s="23">
        <f t="shared" si="0"/>
        <v>0</v>
      </c>
      <c r="C15" s="77">
        <v>8</v>
      </c>
      <c r="D15" s="254"/>
      <c r="E15" s="255"/>
      <c r="F15" s="253"/>
      <c r="G15" s="256"/>
      <c r="H15" s="257"/>
      <c r="I15" s="23" t="str">
        <f>IF(Plan!F14=0,"",Plan!F14)</f>
        <v/>
      </c>
      <c r="J15" s="51"/>
      <c r="K15" s="51"/>
      <c r="L15" s="51"/>
      <c r="M15" s="51"/>
      <c r="N15" s="51"/>
      <c r="O15" s="51"/>
      <c r="P15" s="51"/>
      <c r="Q15" s="51"/>
      <c r="R15" s="51"/>
      <c r="S15" s="51"/>
      <c r="T15" s="51"/>
      <c r="U15" s="51"/>
      <c r="V15" s="51"/>
      <c r="W15" s="51"/>
      <c r="X15" s="51"/>
      <c r="Y15" s="51"/>
      <c r="Z15" s="51"/>
      <c r="AA15" s="51"/>
      <c r="AB15" s="51"/>
      <c r="AC15" s="51"/>
      <c r="AD15" s="51"/>
      <c r="AE15" s="51"/>
    </row>
    <row r="16" spans="1:31" s="79" customFormat="1" ht="44.1" customHeight="1" thickTop="1" thickBot="1" x14ac:dyDescent="0.3">
      <c r="A16" s="78"/>
      <c r="B16" s="23">
        <f t="shared" si="0"/>
        <v>0</v>
      </c>
      <c r="C16" s="77">
        <v>9</v>
      </c>
      <c r="D16" s="254"/>
      <c r="E16" s="255"/>
      <c r="F16" s="253"/>
      <c r="G16" s="256"/>
      <c r="H16" s="257"/>
      <c r="I16" s="54" t="str">
        <f>IF(Plan!I11=0,"",Plan!I11)</f>
        <v/>
      </c>
      <c r="J16" s="51"/>
      <c r="K16" s="51"/>
      <c r="L16" s="51"/>
      <c r="M16" s="51"/>
      <c r="N16" s="51"/>
      <c r="O16" s="51"/>
      <c r="P16" s="51"/>
      <c r="Q16" s="51"/>
      <c r="R16" s="51"/>
      <c r="S16" s="51"/>
      <c r="T16" s="51"/>
      <c r="U16" s="51"/>
      <c r="V16" s="51"/>
      <c r="W16" s="51"/>
      <c r="X16" s="51"/>
      <c r="Y16" s="51"/>
      <c r="Z16" s="51"/>
      <c r="AA16" s="51"/>
      <c r="AB16" s="51"/>
      <c r="AC16" s="51"/>
      <c r="AD16" s="51"/>
      <c r="AE16" s="51"/>
    </row>
    <row r="17" spans="1:31" s="71" customFormat="1" ht="44.1" customHeight="1" thickTop="1" thickBot="1" x14ac:dyDescent="0.3">
      <c r="A17" s="63"/>
      <c r="B17" s="23">
        <f t="shared" si="0"/>
        <v>0</v>
      </c>
      <c r="C17" s="77">
        <v>10</v>
      </c>
      <c r="D17" s="254"/>
      <c r="E17" s="255"/>
      <c r="F17" s="253"/>
      <c r="G17" s="256"/>
      <c r="H17" s="257"/>
      <c r="I17" s="54" t="str">
        <f>IF(Plan!I12=0,"",Plan!I12)</f>
        <v/>
      </c>
      <c r="J17" s="21"/>
      <c r="K17" s="21"/>
      <c r="L17" s="21"/>
      <c r="M17" s="21"/>
      <c r="N17" s="21"/>
      <c r="O17" s="21"/>
      <c r="P17" s="21"/>
      <c r="Q17" s="21"/>
      <c r="R17" s="21"/>
      <c r="S17" s="21"/>
      <c r="T17" s="21"/>
      <c r="U17" s="21"/>
      <c r="V17" s="21"/>
      <c r="W17" s="21"/>
      <c r="X17" s="21"/>
      <c r="Y17" s="21"/>
      <c r="Z17" s="21"/>
      <c r="AA17" s="21"/>
      <c r="AB17" s="21"/>
      <c r="AC17" s="21"/>
      <c r="AD17" s="21"/>
      <c r="AE17" s="21"/>
    </row>
    <row r="18" spans="1:31" s="71" customFormat="1" ht="44.1" customHeight="1" thickTop="1" thickBot="1" x14ac:dyDescent="0.3">
      <c r="A18" s="63"/>
      <c r="B18" s="23">
        <f t="shared" si="0"/>
        <v>0</v>
      </c>
      <c r="C18" s="77">
        <v>11</v>
      </c>
      <c r="D18" s="254"/>
      <c r="E18" s="255"/>
      <c r="F18" s="253"/>
      <c r="G18" s="256"/>
      <c r="H18" s="257"/>
      <c r="I18" s="54" t="str">
        <f>IF(Plan!I13=0,"",Plan!I13)</f>
        <v/>
      </c>
      <c r="J18" s="21"/>
      <c r="K18" s="21"/>
      <c r="L18" s="21"/>
      <c r="M18" s="21"/>
      <c r="N18" s="21"/>
      <c r="O18" s="21"/>
      <c r="P18" s="21"/>
      <c r="Q18" s="21"/>
      <c r="R18" s="21"/>
      <c r="S18" s="21"/>
      <c r="T18" s="21"/>
      <c r="U18" s="21"/>
      <c r="V18" s="21"/>
      <c r="W18" s="21"/>
      <c r="X18" s="21"/>
      <c r="Y18" s="21"/>
      <c r="Z18" s="21"/>
      <c r="AA18" s="21"/>
      <c r="AB18" s="21"/>
      <c r="AC18" s="21"/>
      <c r="AD18" s="21"/>
      <c r="AE18" s="21"/>
    </row>
    <row r="19" spans="1:31" s="71" customFormat="1" ht="44.1" customHeight="1" thickTop="1" thickBot="1" x14ac:dyDescent="0.3">
      <c r="A19" s="63"/>
      <c r="B19" s="23">
        <f t="shared" si="0"/>
        <v>0</v>
      </c>
      <c r="C19" s="77">
        <v>12</v>
      </c>
      <c r="D19" s="254"/>
      <c r="E19" s="255"/>
      <c r="F19" s="253"/>
      <c r="G19" s="256"/>
      <c r="H19" s="257"/>
      <c r="I19" s="54" t="str">
        <f>IF(Plan!I14=0,"",Plan!I14)</f>
        <v/>
      </c>
      <c r="J19" s="21"/>
      <c r="K19" s="21"/>
      <c r="L19" s="21"/>
      <c r="M19" s="21"/>
      <c r="N19" s="21"/>
      <c r="O19" s="21"/>
      <c r="P19" s="21"/>
      <c r="Q19" s="21"/>
      <c r="R19" s="21"/>
      <c r="S19" s="21"/>
      <c r="T19" s="21"/>
      <c r="U19" s="21"/>
      <c r="V19" s="21"/>
      <c r="W19" s="21"/>
      <c r="X19" s="21"/>
      <c r="Y19" s="21"/>
      <c r="Z19" s="21"/>
      <c r="AA19" s="21"/>
      <c r="AB19" s="21"/>
      <c r="AC19" s="21"/>
      <c r="AD19" s="21"/>
      <c r="AE19" s="21"/>
    </row>
    <row r="20" spans="1:31" s="71" customFormat="1" ht="44.1" customHeight="1" thickTop="1" thickBot="1" x14ac:dyDescent="0.3">
      <c r="A20" s="63"/>
      <c r="B20" s="23">
        <f t="shared" si="0"/>
        <v>0</v>
      </c>
      <c r="C20" s="77">
        <v>13</v>
      </c>
      <c r="D20" s="254"/>
      <c r="E20" s="255"/>
      <c r="F20" s="253"/>
      <c r="G20" s="256"/>
      <c r="H20" s="257"/>
      <c r="I20" s="23" t="str">
        <f>IF(Plan!C20=0,"",Plan!C20)</f>
        <v/>
      </c>
      <c r="J20" s="21"/>
      <c r="K20" s="21"/>
      <c r="L20" s="21"/>
      <c r="M20" s="21"/>
      <c r="N20" s="21"/>
      <c r="O20" s="21"/>
      <c r="P20" s="21"/>
      <c r="Q20" s="21"/>
      <c r="R20" s="21"/>
      <c r="S20" s="21"/>
      <c r="T20" s="21"/>
      <c r="U20" s="21"/>
      <c r="V20" s="21"/>
      <c r="W20" s="21"/>
      <c r="X20" s="21"/>
      <c r="Y20" s="21"/>
      <c r="Z20" s="21"/>
      <c r="AA20" s="21"/>
      <c r="AB20" s="21"/>
      <c r="AC20" s="21"/>
      <c r="AD20" s="21"/>
      <c r="AE20" s="21"/>
    </row>
    <row r="21" spans="1:31" s="71" customFormat="1" ht="44.1" customHeight="1" thickTop="1" thickBot="1" x14ac:dyDescent="0.3">
      <c r="A21" s="63"/>
      <c r="B21" s="23">
        <f t="shared" si="0"/>
        <v>0</v>
      </c>
      <c r="C21" s="77">
        <v>14</v>
      </c>
      <c r="D21" s="254"/>
      <c r="E21" s="255"/>
      <c r="F21" s="253"/>
      <c r="G21" s="256"/>
      <c r="H21" s="257"/>
      <c r="I21" s="23" t="str">
        <f>IF(Plan!C21=0,"",Plan!C21)</f>
        <v/>
      </c>
      <c r="J21" s="21"/>
      <c r="K21" s="21"/>
      <c r="L21" s="21"/>
      <c r="M21" s="21"/>
      <c r="N21" s="21"/>
      <c r="O21" s="21"/>
      <c r="P21" s="21"/>
      <c r="Q21" s="21"/>
      <c r="R21" s="21"/>
      <c r="S21" s="21"/>
      <c r="T21" s="21"/>
      <c r="U21" s="21"/>
      <c r="V21" s="21"/>
      <c r="W21" s="21"/>
      <c r="X21" s="21"/>
      <c r="Y21" s="21"/>
      <c r="Z21" s="21"/>
      <c r="AA21" s="21"/>
      <c r="AB21" s="21"/>
      <c r="AC21" s="21"/>
      <c r="AD21" s="21"/>
      <c r="AE21" s="21"/>
    </row>
    <row r="22" spans="1:31" s="71" customFormat="1" ht="44.1" customHeight="1" thickTop="1" thickBot="1" x14ac:dyDescent="0.3">
      <c r="A22" s="63"/>
      <c r="B22" s="23">
        <f t="shared" si="0"/>
        <v>0</v>
      </c>
      <c r="C22" s="77">
        <v>15</v>
      </c>
      <c r="D22" s="254"/>
      <c r="E22" s="255"/>
      <c r="F22" s="253"/>
      <c r="G22" s="256"/>
      <c r="H22" s="257"/>
      <c r="I22" s="23" t="str">
        <f>IF(Plan!C22=0,"",Plan!C22)</f>
        <v/>
      </c>
      <c r="J22" s="21"/>
      <c r="K22" s="21"/>
      <c r="L22" s="21"/>
      <c r="M22" s="21"/>
      <c r="N22" s="21"/>
      <c r="O22" s="21"/>
      <c r="P22" s="21"/>
      <c r="Q22" s="21"/>
      <c r="R22" s="21"/>
      <c r="S22" s="21"/>
      <c r="T22" s="21"/>
      <c r="U22" s="21"/>
      <c r="V22" s="21"/>
      <c r="W22" s="21"/>
      <c r="X22" s="21"/>
      <c r="Y22" s="21"/>
      <c r="Z22" s="21"/>
      <c r="AA22" s="21"/>
      <c r="AB22" s="21"/>
      <c r="AC22" s="21"/>
      <c r="AD22" s="21"/>
      <c r="AE22" s="21"/>
    </row>
    <row r="23" spans="1:31" s="71" customFormat="1" ht="44.1" customHeight="1" thickTop="1" thickBot="1" x14ac:dyDescent="0.3">
      <c r="A23" s="63"/>
      <c r="B23" s="23">
        <f t="shared" si="0"/>
        <v>0</v>
      </c>
      <c r="C23" s="77">
        <v>16</v>
      </c>
      <c r="D23" s="254"/>
      <c r="E23" s="255"/>
      <c r="F23" s="253"/>
      <c r="G23" s="256"/>
      <c r="H23" s="257"/>
      <c r="I23" s="23" t="str">
        <f>IF(Plan!C23=0,"",Plan!C23)</f>
        <v/>
      </c>
      <c r="J23" s="21"/>
      <c r="K23" s="21"/>
      <c r="L23" s="21"/>
      <c r="M23" s="21"/>
      <c r="N23" s="21"/>
      <c r="O23" s="21"/>
      <c r="P23" s="21"/>
      <c r="Q23" s="21"/>
      <c r="R23" s="21"/>
      <c r="S23" s="21"/>
      <c r="T23" s="21"/>
      <c r="U23" s="21"/>
      <c r="V23" s="21"/>
      <c r="W23" s="21"/>
      <c r="X23" s="21"/>
      <c r="Y23" s="21"/>
      <c r="Z23" s="21"/>
      <c r="AA23" s="21"/>
      <c r="AB23" s="21"/>
      <c r="AC23" s="21"/>
      <c r="AD23" s="21"/>
      <c r="AE23" s="21"/>
    </row>
    <row r="24" spans="1:31" s="79" customFormat="1" ht="44.1" customHeight="1" thickTop="1" thickBot="1" x14ac:dyDescent="0.3">
      <c r="A24" s="78"/>
      <c r="B24" s="23">
        <f t="shared" si="0"/>
        <v>0</v>
      </c>
      <c r="C24" s="77">
        <v>17</v>
      </c>
      <c r="D24" s="254"/>
      <c r="E24" s="255"/>
      <c r="F24" s="253"/>
      <c r="G24" s="256"/>
      <c r="H24" s="257"/>
      <c r="I24" s="54" t="str">
        <f>IF(Plan!F20=0,"",Plan!F20)</f>
        <v/>
      </c>
      <c r="J24" s="51"/>
      <c r="K24" s="51"/>
      <c r="L24" s="51"/>
      <c r="M24" s="51"/>
      <c r="N24" s="51"/>
      <c r="O24" s="51"/>
      <c r="P24" s="51"/>
      <c r="Q24" s="51"/>
      <c r="R24" s="51"/>
      <c r="S24" s="51"/>
      <c r="T24" s="51"/>
      <c r="U24" s="51"/>
      <c r="V24" s="51"/>
      <c r="W24" s="51"/>
      <c r="X24" s="51"/>
      <c r="Y24" s="51"/>
      <c r="Z24" s="51"/>
      <c r="AA24" s="51"/>
      <c r="AB24" s="51"/>
      <c r="AC24" s="51"/>
      <c r="AD24" s="51"/>
      <c r="AE24" s="51"/>
    </row>
    <row r="25" spans="1:31" s="79" customFormat="1" ht="44.1" customHeight="1" thickTop="1" thickBot="1" x14ac:dyDescent="0.3">
      <c r="A25" s="78"/>
      <c r="B25" s="23">
        <f t="shared" si="0"/>
        <v>0</v>
      </c>
      <c r="C25" s="77">
        <v>18</v>
      </c>
      <c r="D25" s="254"/>
      <c r="E25" s="255"/>
      <c r="F25" s="253"/>
      <c r="G25" s="256"/>
      <c r="H25" s="257"/>
      <c r="I25" s="54" t="str">
        <f>IF(Plan!F21=0,"",Plan!F21)</f>
        <v/>
      </c>
      <c r="J25" s="51"/>
      <c r="K25" s="51"/>
      <c r="L25" s="51"/>
      <c r="M25" s="51"/>
      <c r="N25" s="51"/>
      <c r="O25" s="51"/>
      <c r="P25" s="51"/>
      <c r="Q25" s="51"/>
      <c r="R25" s="51"/>
      <c r="S25" s="51"/>
      <c r="T25" s="51"/>
      <c r="U25" s="51"/>
      <c r="V25" s="51"/>
      <c r="W25" s="51"/>
      <c r="X25" s="51"/>
      <c r="Y25" s="51"/>
      <c r="Z25" s="51"/>
      <c r="AA25" s="51"/>
      <c r="AB25" s="51"/>
      <c r="AC25" s="51"/>
      <c r="AD25" s="51"/>
      <c r="AE25" s="51"/>
    </row>
    <row r="26" spans="1:31" s="71" customFormat="1" ht="44.1" customHeight="1" thickTop="1" thickBot="1" x14ac:dyDescent="0.3">
      <c r="A26" s="63"/>
      <c r="B26" s="23">
        <f t="shared" si="0"/>
        <v>0</v>
      </c>
      <c r="C26" s="77">
        <v>19</v>
      </c>
      <c r="D26" s="254"/>
      <c r="E26" s="255"/>
      <c r="F26" s="253"/>
      <c r="G26" s="256"/>
      <c r="H26" s="257"/>
      <c r="I26" s="54" t="str">
        <f>IF(Plan!F22=0,"",Plan!F22)</f>
        <v/>
      </c>
      <c r="J26" s="21"/>
      <c r="K26" s="21"/>
      <c r="L26" s="21"/>
      <c r="M26" s="21"/>
      <c r="N26" s="21"/>
      <c r="O26" s="21"/>
      <c r="P26" s="21"/>
      <c r="Q26" s="21"/>
      <c r="R26" s="21"/>
      <c r="S26" s="21"/>
      <c r="T26" s="21"/>
      <c r="U26" s="21"/>
      <c r="V26" s="21"/>
      <c r="W26" s="21"/>
      <c r="X26" s="21"/>
      <c r="Y26" s="21"/>
      <c r="Z26" s="21"/>
      <c r="AA26" s="21"/>
      <c r="AB26" s="21"/>
      <c r="AC26" s="21"/>
      <c r="AD26" s="21"/>
      <c r="AE26" s="21"/>
    </row>
    <row r="27" spans="1:31" s="71" customFormat="1" ht="44.1" customHeight="1" thickTop="1" thickBot="1" x14ac:dyDescent="0.3">
      <c r="A27" s="63"/>
      <c r="B27" s="23">
        <f t="shared" si="0"/>
        <v>0</v>
      </c>
      <c r="C27" s="77">
        <v>20</v>
      </c>
      <c r="D27" s="254"/>
      <c r="E27" s="255"/>
      <c r="F27" s="253"/>
      <c r="G27" s="256"/>
      <c r="H27" s="257"/>
      <c r="I27" s="54" t="str">
        <f>IF(Plan!F23=0,"",Plan!F23)</f>
        <v/>
      </c>
      <c r="J27" s="21"/>
      <c r="K27" s="21"/>
      <c r="L27" s="21"/>
      <c r="M27" s="21"/>
      <c r="N27" s="21"/>
      <c r="O27" s="21"/>
      <c r="P27" s="21"/>
      <c r="Q27" s="21"/>
      <c r="R27" s="21"/>
      <c r="S27" s="21"/>
      <c r="T27" s="21"/>
      <c r="U27" s="21"/>
      <c r="V27" s="21"/>
      <c r="W27" s="21"/>
      <c r="X27" s="21"/>
      <c r="Y27" s="21"/>
      <c r="Z27" s="21"/>
      <c r="AA27" s="21"/>
      <c r="AB27" s="21"/>
      <c r="AC27" s="21"/>
      <c r="AD27" s="21"/>
      <c r="AE27" s="21"/>
    </row>
    <row r="28" spans="1:31" s="71" customFormat="1" ht="44.1" customHeight="1" thickTop="1" thickBot="1" x14ac:dyDescent="0.3">
      <c r="A28" s="63"/>
      <c r="B28" s="23">
        <f t="shared" si="0"/>
        <v>0</v>
      </c>
      <c r="C28" s="77">
        <v>21</v>
      </c>
      <c r="D28" s="254"/>
      <c r="E28" s="255"/>
      <c r="F28" s="253"/>
      <c r="G28" s="256"/>
      <c r="H28" s="257"/>
      <c r="I28" s="23" t="str">
        <f>IF(Plan!I20=0,"",Plan!I20)</f>
        <v/>
      </c>
      <c r="J28" s="21"/>
      <c r="K28" s="21"/>
      <c r="L28" s="21"/>
      <c r="M28" s="21"/>
      <c r="N28" s="21"/>
      <c r="O28" s="21"/>
      <c r="P28" s="21"/>
      <c r="Q28" s="21"/>
      <c r="R28" s="21"/>
      <c r="S28" s="21"/>
      <c r="T28" s="21"/>
      <c r="U28" s="21"/>
      <c r="V28" s="21"/>
      <c r="W28" s="21"/>
      <c r="X28" s="21"/>
      <c r="Y28" s="21"/>
      <c r="Z28" s="21"/>
      <c r="AA28" s="21"/>
      <c r="AB28" s="21"/>
      <c r="AC28" s="21"/>
      <c r="AD28" s="21"/>
      <c r="AE28" s="21"/>
    </row>
    <row r="29" spans="1:31" s="71" customFormat="1" ht="44.1" customHeight="1" thickTop="1" thickBot="1" x14ac:dyDescent="0.3">
      <c r="A29" s="63"/>
      <c r="B29" s="23">
        <f t="shared" si="0"/>
        <v>0</v>
      </c>
      <c r="C29" s="77">
        <v>22</v>
      </c>
      <c r="D29" s="254"/>
      <c r="E29" s="255"/>
      <c r="F29" s="253"/>
      <c r="G29" s="256"/>
      <c r="H29" s="257"/>
      <c r="I29" s="23" t="str">
        <f>IF(Plan!I21=0,"",Plan!I21)</f>
        <v/>
      </c>
      <c r="J29" s="21"/>
      <c r="K29" s="21"/>
      <c r="L29" s="21"/>
      <c r="M29" s="21"/>
      <c r="N29" s="21"/>
      <c r="O29" s="21"/>
      <c r="P29" s="21"/>
      <c r="Q29" s="21"/>
      <c r="R29" s="21"/>
      <c r="S29" s="21"/>
      <c r="T29" s="21"/>
      <c r="U29" s="21"/>
      <c r="V29" s="21"/>
      <c r="W29" s="21"/>
      <c r="X29" s="21"/>
      <c r="Y29" s="21"/>
      <c r="Z29" s="21"/>
      <c r="AA29" s="21"/>
      <c r="AB29" s="21"/>
      <c r="AC29" s="21"/>
      <c r="AD29" s="21"/>
      <c r="AE29" s="21"/>
    </row>
    <row r="30" spans="1:31" s="71" customFormat="1" ht="44.1" customHeight="1" thickTop="1" thickBot="1" x14ac:dyDescent="0.3">
      <c r="A30" s="63"/>
      <c r="B30" s="23">
        <f t="shared" si="0"/>
        <v>0</v>
      </c>
      <c r="C30" s="77">
        <v>23</v>
      </c>
      <c r="D30" s="254"/>
      <c r="E30" s="255"/>
      <c r="F30" s="253"/>
      <c r="G30" s="256"/>
      <c r="H30" s="257"/>
      <c r="I30" s="23" t="str">
        <f>IF(Plan!I22=0,"",Plan!I22)</f>
        <v/>
      </c>
      <c r="J30" s="21"/>
      <c r="K30" s="21"/>
      <c r="L30" s="21"/>
      <c r="M30" s="21"/>
      <c r="N30" s="21"/>
      <c r="O30" s="21"/>
      <c r="P30" s="21"/>
      <c r="Q30" s="21"/>
      <c r="R30" s="21"/>
      <c r="S30" s="21"/>
      <c r="T30" s="21"/>
      <c r="U30" s="21"/>
      <c r="V30" s="21"/>
      <c r="W30" s="21"/>
      <c r="X30" s="21"/>
      <c r="Y30" s="21"/>
      <c r="Z30" s="21"/>
      <c r="AA30" s="21"/>
      <c r="AB30" s="21"/>
      <c r="AC30" s="21"/>
      <c r="AD30" s="21"/>
      <c r="AE30" s="21"/>
    </row>
    <row r="31" spans="1:31" s="71" customFormat="1" ht="44.1" customHeight="1" thickTop="1" thickBot="1" x14ac:dyDescent="0.3">
      <c r="A31" s="63"/>
      <c r="B31" s="23">
        <f t="shared" si="0"/>
        <v>0</v>
      </c>
      <c r="C31" s="77">
        <v>24</v>
      </c>
      <c r="D31" s="254"/>
      <c r="E31" s="255"/>
      <c r="F31" s="253"/>
      <c r="G31" s="256"/>
      <c r="H31" s="257"/>
      <c r="I31" s="23" t="str">
        <f>IF(Plan!I23=0,"",Plan!I23)</f>
        <v/>
      </c>
      <c r="J31" s="21"/>
      <c r="K31" s="21"/>
      <c r="L31" s="21"/>
      <c r="M31" s="21"/>
      <c r="N31" s="21"/>
      <c r="O31" s="21"/>
      <c r="P31" s="21"/>
      <c r="Q31" s="21"/>
      <c r="R31" s="21"/>
      <c r="S31" s="21"/>
      <c r="T31" s="21"/>
      <c r="U31" s="21"/>
      <c r="V31" s="21"/>
      <c r="W31" s="21"/>
      <c r="X31" s="21"/>
      <c r="Y31" s="21"/>
      <c r="Z31" s="21"/>
      <c r="AA31" s="21"/>
      <c r="AB31" s="21"/>
      <c r="AC31" s="21"/>
      <c r="AD31" s="21"/>
      <c r="AE31" s="21"/>
    </row>
    <row r="32" spans="1:31" s="71" customFormat="1" ht="44.1" customHeight="1" thickTop="1" thickBot="1" x14ac:dyDescent="0.3">
      <c r="A32" s="63"/>
      <c r="B32" s="23">
        <f t="shared" si="0"/>
        <v>0</v>
      </c>
      <c r="C32" s="77">
        <v>25</v>
      </c>
      <c r="D32" s="254"/>
      <c r="E32" s="255"/>
      <c r="F32" s="253"/>
      <c r="G32" s="256"/>
      <c r="H32" s="257"/>
      <c r="I32" s="23"/>
      <c r="J32" s="21"/>
      <c r="K32" s="21"/>
      <c r="L32" s="21"/>
      <c r="M32" s="21"/>
      <c r="N32" s="21"/>
      <c r="O32" s="21"/>
      <c r="P32" s="21"/>
      <c r="Q32" s="21"/>
      <c r="R32" s="21"/>
      <c r="S32" s="21"/>
      <c r="T32" s="21"/>
      <c r="U32" s="21"/>
      <c r="V32" s="21"/>
      <c r="W32" s="21"/>
      <c r="X32" s="21"/>
      <c r="Y32" s="21"/>
      <c r="Z32" s="21"/>
      <c r="AA32" s="21"/>
      <c r="AB32" s="21"/>
      <c r="AC32" s="21"/>
      <c r="AD32" s="21"/>
      <c r="AE32" s="21"/>
    </row>
    <row r="33" spans="1:31" s="71" customFormat="1" ht="44.1" customHeight="1" thickTop="1" thickBot="1" x14ac:dyDescent="0.3">
      <c r="A33" s="63"/>
      <c r="B33" s="23">
        <f t="shared" si="0"/>
        <v>0</v>
      </c>
      <c r="C33" s="77">
        <v>26</v>
      </c>
      <c r="D33" s="254"/>
      <c r="E33" s="255"/>
      <c r="F33" s="253"/>
      <c r="G33" s="256"/>
      <c r="H33" s="257"/>
      <c r="I33" s="23"/>
      <c r="J33" s="21"/>
      <c r="K33" s="21"/>
      <c r="L33" s="21"/>
      <c r="M33" s="21"/>
      <c r="N33" s="21"/>
      <c r="O33" s="21"/>
      <c r="P33" s="21"/>
      <c r="Q33" s="21"/>
      <c r="R33" s="21"/>
      <c r="S33" s="21"/>
      <c r="T33" s="21"/>
      <c r="U33" s="21"/>
      <c r="V33" s="21"/>
      <c r="W33" s="21"/>
      <c r="X33" s="21"/>
      <c r="Y33" s="21"/>
      <c r="Z33" s="21"/>
      <c r="AA33" s="21"/>
      <c r="AB33" s="21"/>
      <c r="AC33" s="21"/>
      <c r="AD33" s="21"/>
      <c r="AE33" s="21"/>
    </row>
    <row r="34" spans="1:31" s="71" customFormat="1" ht="44.1" customHeight="1" thickTop="1" thickBot="1" x14ac:dyDescent="0.3">
      <c r="A34" s="63"/>
      <c r="B34" s="23">
        <f t="shared" si="0"/>
        <v>0</v>
      </c>
      <c r="C34" s="77">
        <v>27</v>
      </c>
      <c r="D34" s="254"/>
      <c r="E34" s="255"/>
      <c r="F34" s="253"/>
      <c r="G34" s="256"/>
      <c r="H34" s="257"/>
      <c r="I34" s="23"/>
      <c r="J34" s="21"/>
      <c r="K34" s="21"/>
      <c r="L34" s="21"/>
      <c r="M34" s="21"/>
      <c r="N34" s="21"/>
      <c r="O34" s="21"/>
      <c r="P34" s="21"/>
      <c r="Q34" s="21"/>
      <c r="R34" s="21"/>
      <c r="S34" s="21"/>
      <c r="T34" s="21"/>
      <c r="U34" s="21"/>
      <c r="V34" s="21"/>
      <c r="W34" s="21"/>
      <c r="X34" s="21"/>
      <c r="Y34" s="21"/>
      <c r="Z34" s="21"/>
      <c r="AA34" s="21"/>
      <c r="AB34" s="21"/>
      <c r="AC34" s="21"/>
      <c r="AD34" s="21"/>
      <c r="AE34" s="21"/>
    </row>
    <row r="35" spans="1:31" s="71" customFormat="1" ht="44.1" customHeight="1" thickTop="1" thickBot="1" x14ac:dyDescent="0.3">
      <c r="A35" s="63"/>
      <c r="B35" s="23">
        <f t="shared" si="0"/>
        <v>0</v>
      </c>
      <c r="C35" s="77">
        <v>28</v>
      </c>
      <c r="D35" s="254"/>
      <c r="E35" s="255"/>
      <c r="F35" s="253"/>
      <c r="G35" s="256"/>
      <c r="H35" s="257"/>
      <c r="I35" s="23"/>
      <c r="J35" s="21"/>
      <c r="K35" s="21"/>
      <c r="L35" s="21"/>
      <c r="M35" s="21"/>
      <c r="N35" s="21"/>
      <c r="O35" s="21"/>
      <c r="P35" s="21"/>
      <c r="Q35" s="21"/>
      <c r="R35" s="21"/>
      <c r="S35" s="21"/>
      <c r="T35" s="21"/>
      <c r="U35" s="21"/>
      <c r="V35" s="21"/>
      <c r="W35" s="21"/>
      <c r="X35" s="21"/>
      <c r="Y35" s="21"/>
      <c r="Z35" s="21"/>
      <c r="AA35" s="21"/>
      <c r="AB35" s="21"/>
      <c r="AC35" s="21"/>
      <c r="AD35" s="21"/>
      <c r="AE35" s="21"/>
    </row>
    <row r="36" spans="1:31" s="71" customFormat="1" ht="44.1" customHeight="1" thickTop="1" thickBot="1" x14ac:dyDescent="0.3">
      <c r="A36" s="63"/>
      <c r="B36" s="23">
        <f t="shared" si="0"/>
        <v>0</v>
      </c>
      <c r="C36" s="77">
        <v>29</v>
      </c>
      <c r="D36" s="254"/>
      <c r="E36" s="255"/>
      <c r="F36" s="253"/>
      <c r="G36" s="256"/>
      <c r="H36" s="257"/>
      <c r="I36" s="23"/>
      <c r="J36" s="21"/>
      <c r="K36" s="21"/>
      <c r="L36" s="21"/>
      <c r="M36" s="21"/>
      <c r="N36" s="21"/>
      <c r="O36" s="21"/>
      <c r="P36" s="21"/>
      <c r="Q36" s="21"/>
      <c r="R36" s="21"/>
      <c r="S36" s="21"/>
      <c r="T36" s="21"/>
      <c r="U36" s="21"/>
      <c r="V36" s="21"/>
      <c r="W36" s="21"/>
      <c r="X36" s="21"/>
      <c r="Y36" s="21"/>
      <c r="Z36" s="21"/>
      <c r="AA36" s="21"/>
      <c r="AB36" s="21"/>
      <c r="AC36" s="21"/>
      <c r="AD36" s="21"/>
      <c r="AE36" s="21"/>
    </row>
    <row r="37" spans="1:31" s="71" customFormat="1" ht="44.1" customHeight="1" thickTop="1" thickBot="1" x14ac:dyDescent="0.3">
      <c r="A37" s="63"/>
      <c r="B37" s="23">
        <f t="shared" si="0"/>
        <v>0</v>
      </c>
      <c r="C37" s="77">
        <v>30</v>
      </c>
      <c r="D37" s="254"/>
      <c r="E37" s="255"/>
      <c r="F37" s="253"/>
      <c r="G37" s="256"/>
      <c r="H37" s="257"/>
      <c r="I37" s="23"/>
      <c r="J37" s="21"/>
      <c r="K37" s="21"/>
      <c r="L37" s="21"/>
      <c r="M37" s="21"/>
      <c r="N37" s="21"/>
      <c r="O37" s="21"/>
      <c r="P37" s="21"/>
      <c r="Q37" s="21"/>
      <c r="R37" s="21"/>
      <c r="S37" s="21"/>
      <c r="T37" s="21"/>
      <c r="U37" s="21"/>
      <c r="V37" s="21"/>
      <c r="W37" s="21"/>
      <c r="X37" s="21"/>
      <c r="Y37" s="21"/>
      <c r="Z37" s="21"/>
      <c r="AA37" s="21"/>
      <c r="AB37" s="21"/>
      <c r="AC37" s="21"/>
      <c r="AD37" s="21"/>
      <c r="AE37" s="21"/>
    </row>
    <row r="38" spans="1:31" s="71" customFormat="1" ht="44.1" customHeight="1" thickTop="1" thickBot="1" x14ac:dyDescent="0.3">
      <c r="A38" s="63"/>
      <c r="B38" s="23">
        <f t="shared" si="0"/>
        <v>0</v>
      </c>
      <c r="C38" s="77">
        <v>31</v>
      </c>
      <c r="D38" s="254"/>
      <c r="E38" s="255"/>
      <c r="F38" s="253"/>
      <c r="G38" s="256"/>
      <c r="H38" s="257"/>
      <c r="I38" s="23"/>
      <c r="J38" s="21"/>
      <c r="K38" s="21"/>
      <c r="L38" s="21"/>
      <c r="M38" s="21"/>
      <c r="N38" s="21"/>
      <c r="O38" s="21"/>
      <c r="P38" s="21"/>
      <c r="Q38" s="21"/>
      <c r="R38" s="21"/>
      <c r="S38" s="21"/>
      <c r="T38" s="21"/>
      <c r="U38" s="21"/>
      <c r="V38" s="21"/>
      <c r="W38" s="21"/>
      <c r="X38" s="21"/>
      <c r="Y38" s="21"/>
      <c r="Z38" s="21"/>
      <c r="AA38" s="21"/>
      <c r="AB38" s="21"/>
      <c r="AC38" s="21"/>
      <c r="AD38" s="21"/>
      <c r="AE38" s="21"/>
    </row>
    <row r="39" spans="1:31" s="71" customFormat="1" ht="44.1" customHeight="1" thickTop="1" thickBot="1" x14ac:dyDescent="0.3">
      <c r="A39" s="63"/>
      <c r="B39" s="23">
        <f t="shared" si="0"/>
        <v>0</v>
      </c>
      <c r="C39" s="77">
        <v>32</v>
      </c>
      <c r="D39" s="254"/>
      <c r="E39" s="255"/>
      <c r="F39" s="253"/>
      <c r="G39" s="256"/>
      <c r="H39" s="257"/>
      <c r="I39" s="23"/>
      <c r="J39" s="21"/>
      <c r="K39" s="21"/>
      <c r="L39" s="21"/>
      <c r="M39" s="21"/>
      <c r="N39" s="21"/>
      <c r="O39" s="21"/>
      <c r="P39" s="21"/>
      <c r="Q39" s="21"/>
      <c r="R39" s="21"/>
      <c r="S39" s="21"/>
      <c r="T39" s="21"/>
      <c r="U39" s="21"/>
      <c r="V39" s="21"/>
      <c r="W39" s="21"/>
      <c r="X39" s="21"/>
      <c r="Y39" s="21"/>
      <c r="Z39" s="21"/>
      <c r="AA39" s="21"/>
      <c r="AB39" s="21"/>
      <c r="AC39" s="21"/>
      <c r="AD39" s="21"/>
      <c r="AE39" s="21"/>
    </row>
    <row r="40" spans="1:31" s="71" customFormat="1" ht="44.1" customHeight="1" thickTop="1" thickBot="1" x14ac:dyDescent="0.3">
      <c r="A40" s="63"/>
      <c r="B40" s="23">
        <f t="shared" si="0"/>
        <v>0</v>
      </c>
      <c r="C40" s="77">
        <v>33</v>
      </c>
      <c r="D40" s="254"/>
      <c r="E40" s="255"/>
      <c r="F40" s="253"/>
      <c r="G40" s="256"/>
      <c r="H40" s="257"/>
      <c r="I40" s="23"/>
      <c r="J40" s="21"/>
      <c r="K40" s="21"/>
      <c r="L40" s="21"/>
      <c r="M40" s="21"/>
      <c r="N40" s="21"/>
      <c r="O40" s="21"/>
      <c r="P40" s="21"/>
      <c r="Q40" s="21"/>
      <c r="R40" s="21"/>
      <c r="S40" s="21"/>
      <c r="T40" s="21"/>
      <c r="U40" s="21"/>
      <c r="V40" s="21"/>
      <c r="W40" s="21"/>
      <c r="X40" s="21"/>
      <c r="Y40" s="21"/>
      <c r="Z40" s="21"/>
      <c r="AA40" s="21"/>
      <c r="AB40" s="21"/>
      <c r="AC40" s="21"/>
      <c r="AD40" s="21"/>
      <c r="AE40" s="21"/>
    </row>
    <row r="41" spans="1:31" s="71" customFormat="1" ht="44.1" customHeight="1" thickTop="1" thickBot="1" x14ac:dyDescent="0.3">
      <c r="A41" s="63"/>
      <c r="B41" s="23">
        <f t="shared" si="0"/>
        <v>0</v>
      </c>
      <c r="C41" s="77">
        <v>34</v>
      </c>
      <c r="D41" s="254"/>
      <c r="E41" s="255"/>
      <c r="F41" s="253"/>
      <c r="G41" s="256"/>
      <c r="H41" s="257"/>
      <c r="I41" s="23"/>
      <c r="J41" s="21"/>
      <c r="K41" s="21"/>
      <c r="L41" s="21"/>
      <c r="M41" s="21"/>
      <c r="N41" s="21"/>
      <c r="O41" s="21"/>
      <c r="P41" s="21"/>
      <c r="Q41" s="21"/>
      <c r="R41" s="21"/>
      <c r="S41" s="21"/>
      <c r="T41" s="21"/>
      <c r="U41" s="21"/>
      <c r="V41" s="21"/>
      <c r="W41" s="21"/>
      <c r="X41" s="21"/>
      <c r="Y41" s="21"/>
      <c r="Z41" s="21"/>
      <c r="AA41" s="21"/>
      <c r="AB41" s="21"/>
      <c r="AC41" s="21"/>
      <c r="AD41" s="21"/>
      <c r="AE41" s="21"/>
    </row>
    <row r="42" spans="1:31" s="71" customFormat="1" ht="44.1" customHeight="1" thickTop="1" thickBot="1" x14ac:dyDescent="0.3">
      <c r="A42" s="63"/>
      <c r="B42" s="23">
        <f t="shared" si="0"/>
        <v>0</v>
      </c>
      <c r="C42" s="77">
        <v>35</v>
      </c>
      <c r="D42" s="254"/>
      <c r="E42" s="255"/>
      <c r="F42" s="253"/>
      <c r="G42" s="256"/>
      <c r="H42" s="257"/>
      <c r="I42" s="23"/>
      <c r="J42" s="21"/>
      <c r="K42" s="21"/>
      <c r="L42" s="21"/>
      <c r="M42" s="21"/>
      <c r="N42" s="21"/>
      <c r="O42" s="21"/>
      <c r="P42" s="21"/>
      <c r="Q42" s="21"/>
      <c r="R42" s="21"/>
      <c r="S42" s="21"/>
      <c r="T42" s="21"/>
      <c r="U42" s="21"/>
      <c r="V42" s="21"/>
      <c r="W42" s="21"/>
      <c r="X42" s="21"/>
      <c r="Y42" s="21"/>
      <c r="Z42" s="21"/>
      <c r="AA42" s="21"/>
      <c r="AB42" s="21"/>
      <c r="AC42" s="21"/>
      <c r="AD42" s="21"/>
      <c r="AE42" s="21"/>
    </row>
    <row r="43" spans="1:31" s="71" customFormat="1" ht="44.1" customHeight="1" thickTop="1" thickBot="1" x14ac:dyDescent="0.3">
      <c r="A43" s="63"/>
      <c r="B43" s="23">
        <f t="shared" si="0"/>
        <v>0</v>
      </c>
      <c r="C43" s="77">
        <v>36</v>
      </c>
      <c r="D43" s="254"/>
      <c r="E43" s="255"/>
      <c r="F43" s="253"/>
      <c r="G43" s="256"/>
      <c r="H43" s="257"/>
      <c r="I43" s="23"/>
      <c r="J43" s="21"/>
      <c r="K43" s="21"/>
      <c r="L43" s="21"/>
      <c r="M43" s="21"/>
      <c r="N43" s="21"/>
      <c r="O43" s="21"/>
      <c r="P43" s="21"/>
      <c r="Q43" s="21"/>
      <c r="R43" s="21"/>
      <c r="S43" s="21"/>
      <c r="T43" s="21"/>
      <c r="U43" s="21"/>
      <c r="V43" s="21"/>
      <c r="W43" s="21"/>
      <c r="X43" s="21"/>
      <c r="Y43" s="21"/>
      <c r="Z43" s="21"/>
      <c r="AA43" s="21"/>
      <c r="AB43" s="21"/>
      <c r="AC43" s="21"/>
      <c r="AD43" s="21"/>
      <c r="AE43" s="21"/>
    </row>
    <row r="44" spans="1:31" s="71" customFormat="1" ht="44.1" customHeight="1" thickTop="1" thickBot="1" x14ac:dyDescent="0.3">
      <c r="A44" s="63"/>
      <c r="B44" s="23">
        <f t="shared" si="0"/>
        <v>0</v>
      </c>
      <c r="C44" s="77">
        <v>37</v>
      </c>
      <c r="D44" s="254"/>
      <c r="E44" s="255"/>
      <c r="F44" s="253"/>
      <c r="G44" s="256"/>
      <c r="H44" s="257"/>
      <c r="I44" s="23"/>
      <c r="J44" s="21"/>
      <c r="K44" s="21"/>
      <c r="L44" s="21"/>
      <c r="M44" s="21"/>
      <c r="N44" s="21"/>
      <c r="O44" s="21"/>
      <c r="P44" s="21"/>
      <c r="Q44" s="21"/>
      <c r="R44" s="21"/>
      <c r="S44" s="21"/>
      <c r="T44" s="21"/>
      <c r="U44" s="21"/>
      <c r="V44" s="21"/>
      <c r="W44" s="21"/>
      <c r="X44" s="21"/>
      <c r="Y44" s="21"/>
      <c r="Z44" s="21"/>
      <c r="AA44" s="21"/>
      <c r="AB44" s="21"/>
      <c r="AC44" s="21"/>
      <c r="AD44" s="21"/>
      <c r="AE44" s="21"/>
    </row>
    <row r="45" spans="1:31" s="71" customFormat="1" ht="44.1" customHeight="1" thickTop="1" thickBot="1" x14ac:dyDescent="0.3">
      <c r="A45" s="63"/>
      <c r="B45" s="23">
        <f t="shared" si="0"/>
        <v>0</v>
      </c>
      <c r="C45" s="77">
        <v>38</v>
      </c>
      <c r="D45" s="254"/>
      <c r="E45" s="255"/>
      <c r="F45" s="253"/>
      <c r="G45" s="256"/>
      <c r="H45" s="257"/>
      <c r="I45" s="23"/>
      <c r="J45" s="21"/>
      <c r="K45" s="21"/>
      <c r="L45" s="21"/>
      <c r="M45" s="21"/>
      <c r="N45" s="21"/>
      <c r="O45" s="21"/>
      <c r="P45" s="21"/>
      <c r="Q45" s="21"/>
      <c r="R45" s="21"/>
      <c r="S45" s="21"/>
      <c r="T45" s="21"/>
      <c r="U45" s="21"/>
      <c r="V45" s="21"/>
      <c r="W45" s="21"/>
      <c r="X45" s="21"/>
      <c r="Y45" s="21"/>
      <c r="Z45" s="21"/>
      <c r="AA45" s="21"/>
      <c r="AB45" s="21"/>
      <c r="AC45" s="21"/>
      <c r="AD45" s="21"/>
      <c r="AE45" s="21"/>
    </row>
    <row r="46" spans="1:31" s="71" customFormat="1" ht="44.1" customHeight="1" thickTop="1" thickBot="1" x14ac:dyDescent="0.3">
      <c r="A46" s="63"/>
      <c r="B46" s="23">
        <f t="shared" si="0"/>
        <v>0</v>
      </c>
      <c r="C46" s="77">
        <v>39</v>
      </c>
      <c r="D46" s="254"/>
      <c r="E46" s="255"/>
      <c r="F46" s="253"/>
      <c r="G46" s="256"/>
      <c r="H46" s="257"/>
      <c r="I46" s="23"/>
      <c r="J46" s="21"/>
      <c r="K46" s="21"/>
      <c r="L46" s="21"/>
      <c r="M46" s="21"/>
      <c r="N46" s="21"/>
      <c r="O46" s="21"/>
      <c r="P46" s="21"/>
      <c r="Q46" s="21"/>
      <c r="R46" s="21"/>
      <c r="S46" s="21"/>
      <c r="T46" s="21"/>
      <c r="U46" s="21"/>
      <c r="V46" s="21"/>
      <c r="W46" s="21"/>
      <c r="X46" s="21"/>
      <c r="Y46" s="21"/>
      <c r="Z46" s="21"/>
      <c r="AA46" s="21"/>
      <c r="AB46" s="21"/>
      <c r="AC46" s="21"/>
      <c r="AD46" s="21"/>
      <c r="AE46" s="21"/>
    </row>
    <row r="47" spans="1:31" s="71" customFormat="1" ht="44.1" customHeight="1" thickTop="1" thickBot="1" x14ac:dyDescent="0.3">
      <c r="A47" s="63"/>
      <c r="B47" s="23">
        <f t="shared" si="0"/>
        <v>0</v>
      </c>
      <c r="C47" s="77">
        <v>40</v>
      </c>
      <c r="D47" s="254"/>
      <c r="E47" s="255"/>
      <c r="F47" s="253"/>
      <c r="G47" s="256"/>
      <c r="H47" s="257"/>
      <c r="I47" s="23"/>
      <c r="J47" s="21"/>
      <c r="K47" s="21"/>
      <c r="L47" s="21"/>
      <c r="M47" s="21"/>
      <c r="N47" s="21"/>
      <c r="O47" s="21"/>
      <c r="P47" s="21"/>
      <c r="Q47" s="21"/>
      <c r="R47" s="21"/>
      <c r="S47" s="21"/>
      <c r="T47" s="21"/>
      <c r="U47" s="21"/>
      <c r="V47" s="21"/>
      <c r="W47" s="21"/>
      <c r="X47" s="21"/>
      <c r="Y47" s="21"/>
      <c r="Z47" s="21"/>
      <c r="AA47" s="21"/>
      <c r="AB47" s="21"/>
      <c r="AC47" s="21"/>
      <c r="AD47" s="21"/>
      <c r="AE47" s="21"/>
    </row>
    <row r="48" spans="1:31" s="71" customFormat="1" ht="44.1" customHeight="1" thickTop="1" thickBot="1" x14ac:dyDescent="0.3">
      <c r="A48" s="63"/>
      <c r="B48" s="23">
        <f t="shared" si="0"/>
        <v>0</v>
      </c>
      <c r="C48" s="77">
        <v>41</v>
      </c>
      <c r="D48" s="254"/>
      <c r="E48" s="255"/>
      <c r="F48" s="253"/>
      <c r="G48" s="256"/>
      <c r="H48" s="257"/>
      <c r="I48" s="23"/>
      <c r="J48" s="21"/>
      <c r="K48" s="21"/>
      <c r="L48" s="21"/>
      <c r="M48" s="21"/>
      <c r="N48" s="21"/>
      <c r="O48" s="21"/>
      <c r="P48" s="21"/>
      <c r="Q48" s="21"/>
      <c r="R48" s="21"/>
      <c r="S48" s="21"/>
      <c r="T48" s="21"/>
      <c r="U48" s="21"/>
      <c r="V48" s="21"/>
      <c r="W48" s="21"/>
      <c r="X48" s="21"/>
      <c r="Y48" s="21"/>
      <c r="Z48" s="21"/>
      <c r="AA48" s="21"/>
      <c r="AB48" s="21"/>
      <c r="AC48" s="21"/>
      <c r="AD48" s="21"/>
      <c r="AE48" s="21"/>
    </row>
    <row r="49" spans="1:31" s="71" customFormat="1" ht="44.1" customHeight="1" thickTop="1" thickBot="1" x14ac:dyDescent="0.3">
      <c r="A49" s="63"/>
      <c r="B49" s="23">
        <f t="shared" si="0"/>
        <v>0</v>
      </c>
      <c r="C49" s="77">
        <v>42</v>
      </c>
      <c r="D49" s="254"/>
      <c r="E49" s="255"/>
      <c r="F49" s="253"/>
      <c r="G49" s="256"/>
      <c r="H49" s="257"/>
      <c r="I49" s="23"/>
      <c r="J49" s="21"/>
      <c r="K49" s="21"/>
      <c r="L49" s="21"/>
      <c r="M49" s="21"/>
      <c r="N49" s="21"/>
      <c r="O49" s="21"/>
      <c r="P49" s="21"/>
      <c r="Q49" s="21"/>
      <c r="R49" s="21"/>
      <c r="S49" s="21"/>
      <c r="T49" s="21"/>
      <c r="U49" s="21"/>
      <c r="V49" s="21"/>
      <c r="W49" s="21"/>
      <c r="X49" s="21"/>
      <c r="Y49" s="21"/>
      <c r="Z49" s="21"/>
      <c r="AA49" s="21"/>
      <c r="AB49" s="21"/>
      <c r="AC49" s="21"/>
      <c r="AD49" s="21"/>
      <c r="AE49" s="21"/>
    </row>
    <row r="50" spans="1:31" s="71" customFormat="1" ht="44.1" customHeight="1" thickTop="1" thickBot="1" x14ac:dyDescent="0.3">
      <c r="A50" s="63"/>
      <c r="B50" s="23">
        <f t="shared" si="0"/>
        <v>0</v>
      </c>
      <c r="C50" s="77">
        <v>43</v>
      </c>
      <c r="D50" s="254"/>
      <c r="E50" s="255"/>
      <c r="F50" s="253"/>
      <c r="G50" s="256"/>
      <c r="H50" s="257"/>
      <c r="I50" s="23"/>
      <c r="J50" s="21"/>
      <c r="K50" s="21"/>
      <c r="L50" s="21"/>
      <c r="M50" s="21"/>
      <c r="N50" s="21"/>
      <c r="O50" s="21"/>
      <c r="P50" s="21"/>
      <c r="Q50" s="21"/>
      <c r="R50" s="21"/>
      <c r="S50" s="21"/>
      <c r="T50" s="21"/>
      <c r="U50" s="21"/>
      <c r="V50" s="21"/>
      <c r="W50" s="21"/>
      <c r="X50" s="21"/>
      <c r="Y50" s="21"/>
      <c r="Z50" s="21"/>
      <c r="AA50" s="21"/>
      <c r="AB50" s="21"/>
      <c r="AC50" s="21"/>
      <c r="AD50" s="21"/>
      <c r="AE50" s="21"/>
    </row>
    <row r="51" spans="1:31" s="71" customFormat="1" ht="44.1" customHeight="1" thickTop="1" thickBot="1" x14ac:dyDescent="0.3">
      <c r="A51" s="63"/>
      <c r="B51" s="23">
        <f t="shared" si="0"/>
        <v>0</v>
      </c>
      <c r="C51" s="77">
        <v>44</v>
      </c>
      <c r="D51" s="254"/>
      <c r="E51" s="255"/>
      <c r="F51" s="253"/>
      <c r="G51" s="256"/>
      <c r="H51" s="257"/>
      <c r="I51" s="23"/>
      <c r="J51" s="21"/>
      <c r="K51" s="21"/>
      <c r="L51" s="21"/>
      <c r="M51" s="21"/>
      <c r="N51" s="21"/>
      <c r="O51" s="21"/>
      <c r="P51" s="21"/>
      <c r="Q51" s="21"/>
      <c r="R51" s="21"/>
      <c r="S51" s="21"/>
      <c r="T51" s="21"/>
      <c r="U51" s="21"/>
      <c r="V51" s="21"/>
      <c r="W51" s="21"/>
      <c r="X51" s="21"/>
      <c r="Y51" s="21"/>
      <c r="Z51" s="21"/>
      <c r="AA51" s="21"/>
      <c r="AB51" s="21"/>
      <c r="AC51" s="21"/>
      <c r="AD51" s="21"/>
      <c r="AE51" s="21"/>
    </row>
    <row r="52" spans="1:31" s="71" customFormat="1" ht="44.1" customHeight="1" thickTop="1" thickBot="1" x14ac:dyDescent="0.3">
      <c r="A52" s="63"/>
      <c r="B52" s="23">
        <f t="shared" si="0"/>
        <v>0</v>
      </c>
      <c r="C52" s="77">
        <v>45</v>
      </c>
      <c r="D52" s="254"/>
      <c r="E52" s="255"/>
      <c r="F52" s="253"/>
      <c r="G52" s="256"/>
      <c r="H52" s="257"/>
      <c r="I52" s="23"/>
      <c r="J52" s="21"/>
      <c r="K52" s="21"/>
      <c r="L52" s="21"/>
      <c r="M52" s="21"/>
      <c r="N52" s="21"/>
      <c r="O52" s="21"/>
      <c r="P52" s="21"/>
      <c r="Q52" s="21"/>
      <c r="R52" s="21"/>
      <c r="S52" s="21"/>
      <c r="T52" s="21"/>
      <c r="U52" s="21"/>
      <c r="V52" s="21"/>
      <c r="W52" s="21"/>
      <c r="X52" s="21"/>
      <c r="Y52" s="21"/>
      <c r="Z52" s="21"/>
      <c r="AA52" s="21"/>
      <c r="AB52" s="21"/>
      <c r="AC52" s="21"/>
      <c r="AD52" s="21"/>
      <c r="AE52" s="21"/>
    </row>
    <row r="53" spans="1:31" s="71" customFormat="1" ht="44.1" customHeight="1" thickTop="1" thickBot="1" x14ac:dyDescent="0.3">
      <c r="A53" s="63"/>
      <c r="B53" s="23">
        <f t="shared" si="0"/>
        <v>0</v>
      </c>
      <c r="C53" s="77">
        <v>46</v>
      </c>
      <c r="D53" s="254"/>
      <c r="E53" s="255"/>
      <c r="F53" s="253"/>
      <c r="G53" s="256"/>
      <c r="H53" s="257"/>
      <c r="I53" s="23"/>
      <c r="J53" s="21"/>
      <c r="K53" s="21"/>
      <c r="L53" s="21"/>
      <c r="M53" s="21"/>
      <c r="N53" s="21"/>
      <c r="O53" s="21"/>
      <c r="P53" s="21"/>
      <c r="Q53" s="21"/>
      <c r="R53" s="21"/>
      <c r="S53" s="21"/>
      <c r="T53" s="21"/>
      <c r="U53" s="21"/>
      <c r="V53" s="21"/>
      <c r="W53" s="21"/>
      <c r="X53" s="21"/>
      <c r="Y53" s="21"/>
      <c r="Z53" s="21"/>
      <c r="AA53" s="21"/>
      <c r="AB53" s="21"/>
      <c r="AC53" s="21"/>
      <c r="AD53" s="21"/>
      <c r="AE53" s="21"/>
    </row>
    <row r="54" spans="1:31" s="82" customFormat="1" ht="44.1" customHeight="1" thickTop="1" thickBot="1" x14ac:dyDescent="0.3">
      <c r="A54" s="63"/>
      <c r="B54" s="23">
        <f t="shared" si="0"/>
        <v>0</v>
      </c>
      <c r="C54" s="77">
        <v>47</v>
      </c>
      <c r="D54" s="254"/>
      <c r="E54" s="255"/>
      <c r="F54" s="253"/>
      <c r="G54" s="256"/>
      <c r="H54" s="257"/>
      <c r="I54" s="80"/>
      <c r="J54" s="81"/>
      <c r="K54" s="81"/>
      <c r="L54" s="81"/>
      <c r="M54" s="81"/>
      <c r="N54" s="81"/>
      <c r="O54" s="81"/>
      <c r="P54" s="81"/>
      <c r="Q54" s="81"/>
      <c r="R54" s="81"/>
      <c r="S54" s="81"/>
      <c r="T54" s="81"/>
      <c r="U54" s="81"/>
      <c r="V54" s="81"/>
      <c r="W54" s="81"/>
      <c r="X54" s="81"/>
      <c r="Y54" s="81"/>
      <c r="Z54" s="81"/>
      <c r="AA54" s="81"/>
      <c r="AB54" s="81"/>
      <c r="AC54" s="81"/>
      <c r="AD54" s="81"/>
      <c r="AE54" s="81"/>
    </row>
    <row r="55" spans="1:31" s="82" customFormat="1" ht="44.1" customHeight="1" thickTop="1" thickBot="1" x14ac:dyDescent="0.3">
      <c r="A55" s="63"/>
      <c r="B55" s="23">
        <f t="shared" si="0"/>
        <v>0</v>
      </c>
      <c r="C55" s="77">
        <v>48</v>
      </c>
      <c r="D55" s="254"/>
      <c r="E55" s="255"/>
      <c r="F55" s="253"/>
      <c r="G55" s="256"/>
      <c r="H55" s="257"/>
      <c r="I55" s="80"/>
      <c r="J55" s="81"/>
      <c r="K55" s="81"/>
      <c r="L55" s="81"/>
      <c r="M55" s="81"/>
      <c r="N55" s="81"/>
      <c r="O55" s="81"/>
      <c r="P55" s="81"/>
      <c r="Q55" s="81"/>
      <c r="R55" s="81"/>
      <c r="S55" s="81"/>
      <c r="T55" s="81"/>
      <c r="U55" s="81"/>
      <c r="V55" s="81"/>
      <c r="W55" s="81"/>
      <c r="X55" s="81"/>
      <c r="Y55" s="81"/>
      <c r="Z55" s="81"/>
      <c r="AA55" s="81"/>
      <c r="AB55" s="81"/>
      <c r="AC55" s="81"/>
      <c r="AD55" s="81"/>
      <c r="AE55" s="81"/>
    </row>
    <row r="56" spans="1:31" s="82" customFormat="1" ht="44.1" customHeight="1" thickTop="1" thickBot="1" x14ac:dyDescent="0.3">
      <c r="A56" s="63"/>
      <c r="B56" s="23">
        <f t="shared" si="0"/>
        <v>0</v>
      </c>
      <c r="C56" s="77">
        <v>49</v>
      </c>
      <c r="D56" s="254"/>
      <c r="E56" s="255"/>
      <c r="F56" s="253"/>
      <c r="G56" s="256"/>
      <c r="H56" s="257"/>
      <c r="I56" s="80"/>
      <c r="J56" s="81"/>
      <c r="K56" s="81"/>
      <c r="L56" s="81"/>
      <c r="M56" s="81"/>
      <c r="N56" s="81"/>
      <c r="O56" s="81"/>
      <c r="P56" s="81"/>
      <c r="Q56" s="81"/>
      <c r="R56" s="81"/>
      <c r="S56" s="81"/>
      <c r="T56" s="81"/>
      <c r="U56" s="81"/>
      <c r="V56" s="81"/>
      <c r="W56" s="81"/>
      <c r="X56" s="81"/>
      <c r="Y56" s="81"/>
      <c r="Z56" s="81"/>
      <c r="AA56" s="81"/>
      <c r="AB56" s="81"/>
      <c r="AC56" s="81"/>
      <c r="AD56" s="81"/>
      <c r="AE56" s="81"/>
    </row>
    <row r="57" spans="1:31" s="82" customFormat="1" ht="44.1" customHeight="1" thickTop="1" thickBot="1" x14ac:dyDescent="0.3">
      <c r="A57" s="63"/>
      <c r="B57" s="23">
        <f t="shared" si="0"/>
        <v>0</v>
      </c>
      <c r="C57" s="77">
        <v>50</v>
      </c>
      <c r="D57" s="254"/>
      <c r="E57" s="255"/>
      <c r="F57" s="253"/>
      <c r="G57" s="256"/>
      <c r="H57" s="257"/>
      <c r="I57" s="80"/>
      <c r="J57" s="81"/>
      <c r="K57" s="81"/>
      <c r="L57" s="81"/>
      <c r="M57" s="81"/>
      <c r="N57" s="81"/>
      <c r="O57" s="81"/>
      <c r="P57" s="81"/>
      <c r="Q57" s="81"/>
      <c r="R57" s="81"/>
      <c r="S57" s="81"/>
      <c r="T57" s="81"/>
      <c r="U57" s="81"/>
      <c r="V57" s="81"/>
      <c r="W57" s="81"/>
      <c r="X57" s="81"/>
      <c r="Y57" s="81"/>
      <c r="Z57" s="81"/>
      <c r="AA57" s="81"/>
      <c r="AB57" s="81"/>
      <c r="AC57" s="81"/>
      <c r="AD57" s="81"/>
      <c r="AE57" s="81"/>
    </row>
    <row r="58" spans="1:31" s="82" customFormat="1" ht="44.1" customHeight="1" thickTop="1" thickBot="1" x14ac:dyDescent="0.3">
      <c r="A58" s="63"/>
      <c r="B58" s="23">
        <f t="shared" si="0"/>
        <v>0</v>
      </c>
      <c r="C58" s="77">
        <v>51</v>
      </c>
      <c r="D58" s="254"/>
      <c r="E58" s="255"/>
      <c r="F58" s="253"/>
      <c r="G58" s="256"/>
      <c r="H58" s="257"/>
      <c r="I58" s="80"/>
      <c r="J58" s="81"/>
      <c r="K58" s="81"/>
      <c r="L58" s="81"/>
      <c r="M58" s="81"/>
      <c r="N58" s="81"/>
      <c r="O58" s="81"/>
      <c r="P58" s="81"/>
      <c r="Q58" s="81"/>
      <c r="R58" s="81"/>
      <c r="S58" s="81"/>
      <c r="T58" s="81"/>
      <c r="U58" s="81"/>
      <c r="V58" s="81"/>
      <c r="W58" s="81"/>
      <c r="X58" s="81"/>
      <c r="Y58" s="81"/>
      <c r="Z58" s="81"/>
      <c r="AA58" s="81"/>
      <c r="AB58" s="81"/>
      <c r="AC58" s="81"/>
      <c r="AD58" s="81"/>
      <c r="AE58" s="81"/>
    </row>
    <row r="59" spans="1:31" s="82" customFormat="1" ht="44.1" customHeight="1" thickTop="1" thickBot="1" x14ac:dyDescent="0.3">
      <c r="A59" s="63"/>
      <c r="B59" s="23">
        <f t="shared" si="0"/>
        <v>0</v>
      </c>
      <c r="C59" s="77">
        <v>52</v>
      </c>
      <c r="D59" s="254"/>
      <c r="E59" s="255"/>
      <c r="F59" s="253"/>
      <c r="G59" s="256"/>
      <c r="H59" s="257"/>
      <c r="I59" s="80"/>
      <c r="J59" s="81"/>
      <c r="K59" s="81"/>
      <c r="L59" s="81"/>
      <c r="M59" s="81"/>
      <c r="N59" s="81"/>
      <c r="O59" s="81"/>
      <c r="P59" s="81"/>
      <c r="Q59" s="81"/>
      <c r="R59" s="81"/>
      <c r="S59" s="81"/>
      <c r="T59" s="81"/>
      <c r="U59" s="81"/>
      <c r="V59" s="81"/>
      <c r="W59" s="81"/>
      <c r="X59" s="81"/>
      <c r="Y59" s="81"/>
      <c r="Z59" s="81"/>
      <c r="AA59" s="81"/>
      <c r="AB59" s="81"/>
      <c r="AC59" s="81"/>
      <c r="AD59" s="81"/>
      <c r="AE59" s="81"/>
    </row>
    <row r="60" spans="1:31" s="82" customFormat="1" ht="44.1" customHeight="1" thickTop="1" thickBot="1" x14ac:dyDescent="0.3">
      <c r="A60" s="63"/>
      <c r="B60" s="23">
        <f t="shared" si="0"/>
        <v>0</v>
      </c>
      <c r="C60" s="77">
        <v>53</v>
      </c>
      <c r="D60" s="254"/>
      <c r="E60" s="255"/>
      <c r="F60" s="253"/>
      <c r="G60" s="256"/>
      <c r="H60" s="257"/>
      <c r="I60" s="80"/>
      <c r="J60" s="81"/>
      <c r="K60" s="81"/>
      <c r="L60" s="81"/>
      <c r="M60" s="81"/>
      <c r="N60" s="81"/>
      <c r="O60" s="81"/>
      <c r="P60" s="81"/>
      <c r="Q60" s="81"/>
      <c r="R60" s="81"/>
      <c r="S60" s="81"/>
      <c r="T60" s="81"/>
      <c r="U60" s="81"/>
      <c r="V60" s="81"/>
      <c r="W60" s="81"/>
      <c r="X60" s="81"/>
      <c r="Y60" s="81"/>
      <c r="Z60" s="81"/>
      <c r="AA60" s="81"/>
      <c r="AB60" s="81"/>
      <c r="AC60" s="81"/>
      <c r="AD60" s="81"/>
      <c r="AE60" s="81"/>
    </row>
    <row r="61" spans="1:31" s="71" customFormat="1" ht="44.1" customHeight="1" thickTop="1" thickBot="1" x14ac:dyDescent="0.3">
      <c r="A61" s="63"/>
      <c r="B61" s="23">
        <f t="shared" si="0"/>
        <v>0</v>
      </c>
      <c r="C61" s="77">
        <v>54</v>
      </c>
      <c r="D61" s="254"/>
      <c r="E61" s="255"/>
      <c r="F61" s="253"/>
      <c r="G61" s="256"/>
      <c r="H61" s="257"/>
      <c r="I61" s="23"/>
      <c r="J61" s="21"/>
      <c r="K61" s="21"/>
      <c r="L61" s="21"/>
      <c r="M61" s="21"/>
      <c r="N61" s="21"/>
      <c r="O61" s="21"/>
      <c r="P61" s="21"/>
      <c r="Q61" s="21"/>
      <c r="R61" s="21"/>
      <c r="S61" s="21"/>
      <c r="T61" s="21"/>
      <c r="U61" s="21"/>
      <c r="V61" s="21"/>
      <c r="W61" s="21"/>
      <c r="X61" s="21"/>
      <c r="Y61" s="21"/>
      <c r="Z61" s="21"/>
      <c r="AA61" s="21"/>
      <c r="AB61" s="21"/>
      <c r="AC61" s="21"/>
      <c r="AD61" s="21"/>
      <c r="AE61" s="21"/>
    </row>
    <row r="62" spans="1:31" s="71" customFormat="1" ht="44.1" customHeight="1" thickTop="1" thickBot="1" x14ac:dyDescent="0.3">
      <c r="A62" s="63"/>
      <c r="B62" s="23">
        <f t="shared" si="0"/>
        <v>0</v>
      </c>
      <c r="C62" s="77">
        <v>55</v>
      </c>
      <c r="D62" s="254"/>
      <c r="E62" s="255"/>
      <c r="F62" s="253"/>
      <c r="G62" s="256"/>
      <c r="H62" s="257"/>
      <c r="I62" s="23"/>
      <c r="J62" s="21"/>
      <c r="K62" s="21"/>
      <c r="L62" s="21"/>
      <c r="M62" s="21"/>
      <c r="N62" s="21"/>
      <c r="O62" s="21"/>
      <c r="P62" s="21"/>
      <c r="Q62" s="21"/>
      <c r="R62" s="21"/>
      <c r="S62" s="21"/>
      <c r="T62" s="21"/>
      <c r="U62" s="21"/>
      <c r="V62" s="21"/>
      <c r="W62" s="21"/>
      <c r="X62" s="21"/>
      <c r="Y62" s="21"/>
      <c r="Z62" s="21"/>
      <c r="AA62" s="21"/>
      <c r="AB62" s="21"/>
      <c r="AC62" s="21"/>
      <c r="AD62" s="21"/>
      <c r="AE62" s="21"/>
    </row>
    <row r="63" spans="1:31" s="71" customFormat="1" ht="44.1" customHeight="1" thickTop="1" thickBot="1" x14ac:dyDescent="0.3">
      <c r="A63" s="63"/>
      <c r="B63" s="23">
        <f t="shared" si="0"/>
        <v>0</v>
      </c>
      <c r="C63" s="77">
        <v>56</v>
      </c>
      <c r="D63" s="254"/>
      <c r="E63" s="255"/>
      <c r="F63" s="253"/>
      <c r="G63" s="256"/>
      <c r="H63" s="257"/>
      <c r="I63" s="23"/>
      <c r="J63" s="21"/>
      <c r="K63" s="21"/>
      <c r="L63" s="21"/>
      <c r="M63" s="21"/>
      <c r="N63" s="21"/>
      <c r="O63" s="21"/>
      <c r="P63" s="21"/>
      <c r="Q63" s="21"/>
      <c r="R63" s="21"/>
      <c r="S63" s="21"/>
      <c r="T63" s="21"/>
      <c r="U63" s="21"/>
      <c r="V63" s="21"/>
      <c r="W63" s="21"/>
      <c r="X63" s="21"/>
      <c r="Y63" s="21"/>
      <c r="Z63" s="21"/>
      <c r="AA63" s="21"/>
      <c r="AB63" s="21"/>
      <c r="AC63" s="21"/>
      <c r="AD63" s="21"/>
      <c r="AE63" s="21"/>
    </row>
    <row r="64" spans="1:31" s="71" customFormat="1" ht="44.1" customHeight="1" thickTop="1" thickBot="1" x14ac:dyDescent="0.3">
      <c r="A64" s="63"/>
      <c r="B64" s="23">
        <f t="shared" si="0"/>
        <v>0</v>
      </c>
      <c r="C64" s="77">
        <v>57</v>
      </c>
      <c r="D64" s="254"/>
      <c r="E64" s="255"/>
      <c r="F64" s="253"/>
      <c r="G64" s="256"/>
      <c r="H64" s="257"/>
      <c r="I64" s="23"/>
      <c r="J64" s="21"/>
      <c r="K64" s="21"/>
      <c r="L64" s="21"/>
      <c r="M64" s="21"/>
      <c r="N64" s="21"/>
      <c r="O64" s="21"/>
      <c r="P64" s="21"/>
      <c r="Q64" s="21"/>
      <c r="R64" s="21"/>
      <c r="S64" s="21"/>
      <c r="T64" s="21"/>
      <c r="U64" s="21"/>
      <c r="V64" s="21"/>
      <c r="W64" s="21"/>
      <c r="X64" s="21"/>
      <c r="Y64" s="21"/>
      <c r="Z64" s="21"/>
      <c r="AA64" s="21"/>
      <c r="AB64" s="21"/>
      <c r="AC64" s="21"/>
      <c r="AD64" s="21"/>
      <c r="AE64" s="21"/>
    </row>
    <row r="65" spans="1:31" s="71" customFormat="1" ht="44.1" customHeight="1" thickTop="1" thickBot="1" x14ac:dyDescent="0.3">
      <c r="A65" s="63"/>
      <c r="B65" s="23">
        <f t="shared" si="0"/>
        <v>0</v>
      </c>
      <c r="C65" s="77">
        <v>58</v>
      </c>
      <c r="D65" s="254"/>
      <c r="E65" s="255"/>
      <c r="F65" s="253"/>
      <c r="G65" s="256"/>
      <c r="H65" s="257"/>
      <c r="I65" s="23"/>
      <c r="J65" s="21"/>
      <c r="K65" s="21"/>
      <c r="L65" s="21"/>
      <c r="M65" s="21"/>
      <c r="N65" s="21"/>
      <c r="O65" s="21"/>
      <c r="P65" s="21"/>
      <c r="Q65" s="21"/>
      <c r="R65" s="21"/>
      <c r="S65" s="21"/>
      <c r="T65" s="21"/>
      <c r="U65" s="21"/>
      <c r="V65" s="21"/>
      <c r="W65" s="21"/>
      <c r="X65" s="21"/>
      <c r="Y65" s="21"/>
      <c r="Z65" s="21"/>
      <c r="AA65" s="21"/>
      <c r="AB65" s="21"/>
      <c r="AC65" s="21"/>
      <c r="AD65" s="21"/>
      <c r="AE65" s="21"/>
    </row>
    <row r="66" spans="1:31" s="71" customFormat="1" ht="44.1" customHeight="1" thickTop="1" thickBot="1" x14ac:dyDescent="0.3">
      <c r="A66" s="63"/>
      <c r="B66" s="23">
        <f t="shared" si="0"/>
        <v>0</v>
      </c>
      <c r="C66" s="77">
        <v>59</v>
      </c>
      <c r="D66" s="254"/>
      <c r="E66" s="255"/>
      <c r="F66" s="253"/>
      <c r="G66" s="256"/>
      <c r="H66" s="257"/>
      <c r="I66" s="23"/>
      <c r="J66" s="21"/>
      <c r="K66" s="21"/>
      <c r="L66" s="21"/>
      <c r="M66" s="21"/>
      <c r="N66" s="21"/>
      <c r="O66" s="21"/>
      <c r="P66" s="21"/>
      <c r="Q66" s="21"/>
      <c r="R66" s="21"/>
      <c r="S66" s="21"/>
      <c r="T66" s="21"/>
      <c r="U66" s="21"/>
      <c r="V66" s="21"/>
      <c r="W66" s="21"/>
      <c r="X66" s="21"/>
      <c r="Y66" s="21"/>
      <c r="Z66" s="21"/>
      <c r="AA66" s="21"/>
      <c r="AB66" s="21"/>
      <c r="AC66" s="21"/>
      <c r="AD66" s="21"/>
      <c r="AE66" s="21"/>
    </row>
    <row r="67" spans="1:31" s="71" customFormat="1" ht="44.1" customHeight="1" thickTop="1" thickBot="1" x14ac:dyDescent="0.3">
      <c r="A67" s="63"/>
      <c r="B67" s="23">
        <f t="shared" si="0"/>
        <v>0</v>
      </c>
      <c r="C67" s="77">
        <v>60</v>
      </c>
      <c r="D67" s="254"/>
      <c r="E67" s="255"/>
      <c r="F67" s="253"/>
      <c r="G67" s="256"/>
      <c r="H67" s="257"/>
      <c r="I67" s="23"/>
      <c r="J67" s="21"/>
      <c r="K67" s="21"/>
      <c r="L67" s="21"/>
      <c r="M67" s="21"/>
      <c r="N67" s="21"/>
      <c r="O67" s="21"/>
      <c r="P67" s="21"/>
      <c r="Q67" s="21"/>
      <c r="R67" s="21"/>
      <c r="S67" s="21"/>
      <c r="T67" s="21"/>
      <c r="U67" s="21"/>
      <c r="V67" s="21"/>
      <c r="W67" s="21"/>
      <c r="X67" s="21"/>
      <c r="Y67" s="21"/>
      <c r="Z67" s="21"/>
      <c r="AA67" s="21"/>
      <c r="AB67" s="21"/>
      <c r="AC67" s="21"/>
      <c r="AD67" s="21"/>
      <c r="AE67" s="21"/>
    </row>
    <row r="68" spans="1:31" s="71" customFormat="1" ht="44.1" customHeight="1" thickTop="1" thickBot="1" x14ac:dyDescent="0.3">
      <c r="A68" s="63"/>
      <c r="B68" s="23">
        <f t="shared" si="0"/>
        <v>0</v>
      </c>
      <c r="C68" s="77">
        <v>61</v>
      </c>
      <c r="D68" s="254"/>
      <c r="E68" s="255"/>
      <c r="F68" s="253"/>
      <c r="G68" s="256"/>
      <c r="H68" s="257"/>
      <c r="I68" s="23"/>
      <c r="J68" s="21"/>
      <c r="K68" s="21"/>
      <c r="L68" s="21"/>
      <c r="M68" s="21"/>
      <c r="N68" s="21"/>
      <c r="O68" s="21"/>
      <c r="P68" s="21"/>
      <c r="Q68" s="21"/>
      <c r="R68" s="21"/>
      <c r="S68" s="21"/>
      <c r="T68" s="21"/>
      <c r="U68" s="21"/>
      <c r="V68" s="21"/>
      <c r="W68" s="21"/>
      <c r="X68" s="21"/>
      <c r="Y68" s="21"/>
      <c r="Z68" s="21"/>
      <c r="AA68" s="21"/>
      <c r="AB68" s="21"/>
      <c r="AC68" s="21"/>
      <c r="AD68" s="21"/>
      <c r="AE68" s="21"/>
    </row>
    <row r="69" spans="1:31" s="71" customFormat="1" ht="44.1" customHeight="1" thickTop="1" thickBot="1" x14ac:dyDescent="0.3">
      <c r="A69" s="63"/>
      <c r="B69" s="23">
        <f t="shared" si="0"/>
        <v>0</v>
      </c>
      <c r="C69" s="77">
        <v>62</v>
      </c>
      <c r="D69" s="254"/>
      <c r="E69" s="255"/>
      <c r="F69" s="253"/>
      <c r="G69" s="256"/>
      <c r="H69" s="257"/>
      <c r="I69" s="23"/>
      <c r="J69" s="21"/>
      <c r="K69" s="21"/>
      <c r="L69" s="21"/>
      <c r="M69" s="21"/>
      <c r="N69" s="21"/>
      <c r="O69" s="21"/>
      <c r="P69" s="21"/>
      <c r="Q69" s="21"/>
      <c r="R69" s="21"/>
      <c r="S69" s="21"/>
      <c r="T69" s="21"/>
      <c r="U69" s="21"/>
      <c r="V69" s="21"/>
      <c r="W69" s="21"/>
      <c r="X69" s="21"/>
      <c r="Y69" s="21"/>
      <c r="Z69" s="21"/>
      <c r="AA69" s="21"/>
      <c r="AB69" s="21"/>
      <c r="AC69" s="21"/>
      <c r="AD69" s="21"/>
      <c r="AE69" s="21"/>
    </row>
    <row r="70" spans="1:31" s="71" customFormat="1" ht="44.1" customHeight="1" thickTop="1" thickBot="1" x14ac:dyDescent="0.3">
      <c r="A70" s="63"/>
      <c r="B70" s="23">
        <f t="shared" si="0"/>
        <v>0</v>
      </c>
      <c r="C70" s="77">
        <v>63</v>
      </c>
      <c r="D70" s="254"/>
      <c r="E70" s="255"/>
      <c r="F70" s="253"/>
      <c r="G70" s="256"/>
      <c r="H70" s="257"/>
      <c r="I70" s="23"/>
      <c r="J70" s="21"/>
      <c r="K70" s="21"/>
      <c r="L70" s="21"/>
      <c r="M70" s="21"/>
      <c r="N70" s="21"/>
      <c r="O70" s="21"/>
      <c r="P70" s="21"/>
      <c r="Q70" s="21"/>
      <c r="R70" s="21"/>
      <c r="S70" s="21"/>
      <c r="T70" s="21"/>
      <c r="U70" s="21"/>
      <c r="V70" s="21"/>
      <c r="W70" s="21"/>
      <c r="X70" s="21"/>
      <c r="Y70" s="21"/>
      <c r="Z70" s="21"/>
      <c r="AA70" s="21"/>
      <c r="AB70" s="21"/>
      <c r="AC70" s="21"/>
      <c r="AD70" s="21"/>
      <c r="AE70" s="21"/>
    </row>
    <row r="71" spans="1:31" s="71" customFormat="1" ht="44.1" customHeight="1" thickTop="1" thickBot="1" x14ac:dyDescent="0.3">
      <c r="A71" s="63"/>
      <c r="B71" s="23">
        <f t="shared" si="0"/>
        <v>0</v>
      </c>
      <c r="C71" s="77">
        <v>64</v>
      </c>
      <c r="D71" s="254"/>
      <c r="E71" s="255"/>
      <c r="F71" s="253"/>
      <c r="G71" s="256"/>
      <c r="H71" s="257"/>
      <c r="I71" s="23"/>
      <c r="J71" s="21"/>
      <c r="K71" s="21"/>
      <c r="L71" s="21"/>
      <c r="M71" s="21"/>
      <c r="N71" s="21"/>
      <c r="O71" s="21"/>
      <c r="P71" s="21"/>
      <c r="Q71" s="21"/>
      <c r="R71" s="21"/>
      <c r="S71" s="21"/>
      <c r="T71" s="21"/>
      <c r="U71" s="21"/>
      <c r="V71" s="21"/>
      <c r="W71" s="21"/>
      <c r="X71" s="21"/>
      <c r="Y71" s="21"/>
      <c r="Z71" s="21"/>
      <c r="AA71" s="21"/>
      <c r="AB71" s="21"/>
      <c r="AC71" s="21"/>
      <c r="AD71" s="21"/>
      <c r="AE71" s="21"/>
    </row>
    <row r="72" spans="1:31" s="71" customFormat="1" ht="44.1" customHeight="1" thickTop="1" thickBot="1" x14ac:dyDescent="0.3">
      <c r="A72" s="63"/>
      <c r="B72" s="23">
        <f t="shared" si="0"/>
        <v>0</v>
      </c>
      <c r="C72" s="77">
        <v>65</v>
      </c>
      <c r="D72" s="254"/>
      <c r="E72" s="255"/>
      <c r="F72" s="253"/>
      <c r="G72" s="256"/>
      <c r="H72" s="257"/>
      <c r="I72" s="23"/>
      <c r="J72" s="21"/>
      <c r="K72" s="21"/>
      <c r="L72" s="21"/>
      <c r="M72" s="21"/>
      <c r="N72" s="21"/>
      <c r="O72" s="21"/>
      <c r="P72" s="21"/>
      <c r="Q72" s="21"/>
      <c r="R72" s="21"/>
      <c r="S72" s="21"/>
      <c r="T72" s="21"/>
      <c r="U72" s="21"/>
      <c r="V72" s="21"/>
      <c r="W72" s="21"/>
      <c r="X72" s="21"/>
      <c r="Y72" s="21"/>
      <c r="Z72" s="21"/>
      <c r="AA72" s="21"/>
      <c r="AB72" s="21"/>
      <c r="AC72" s="21"/>
      <c r="AD72" s="21"/>
      <c r="AE72" s="21"/>
    </row>
    <row r="73" spans="1:31" s="71" customFormat="1" ht="44.1" customHeight="1" thickTop="1" thickBot="1" x14ac:dyDescent="0.3">
      <c r="A73" s="63"/>
      <c r="B73" s="23">
        <f t="shared" ref="B73:B96" si="1">E73</f>
        <v>0</v>
      </c>
      <c r="C73" s="77">
        <v>66</v>
      </c>
      <c r="D73" s="254"/>
      <c r="E73" s="255"/>
      <c r="F73" s="253"/>
      <c r="G73" s="256"/>
      <c r="H73" s="257"/>
      <c r="I73" s="23"/>
      <c r="J73" s="21"/>
      <c r="K73" s="21"/>
      <c r="L73" s="21"/>
      <c r="M73" s="21"/>
      <c r="N73" s="21"/>
      <c r="O73" s="21"/>
      <c r="P73" s="21"/>
      <c r="Q73" s="21"/>
      <c r="R73" s="21"/>
      <c r="S73" s="21"/>
      <c r="T73" s="21"/>
      <c r="U73" s="21"/>
      <c r="V73" s="21"/>
      <c r="W73" s="21"/>
      <c r="X73" s="21"/>
      <c r="Y73" s="21"/>
      <c r="Z73" s="21"/>
      <c r="AA73" s="21"/>
      <c r="AB73" s="21"/>
      <c r="AC73" s="21"/>
      <c r="AD73" s="21"/>
      <c r="AE73" s="21"/>
    </row>
    <row r="74" spans="1:31" s="71" customFormat="1" ht="44.1" customHeight="1" thickTop="1" thickBot="1" x14ac:dyDescent="0.3">
      <c r="A74" s="63"/>
      <c r="B74" s="23">
        <f t="shared" si="1"/>
        <v>0</v>
      </c>
      <c r="C74" s="77">
        <v>67</v>
      </c>
      <c r="D74" s="254"/>
      <c r="E74" s="255"/>
      <c r="F74" s="253"/>
      <c r="G74" s="256"/>
      <c r="H74" s="257"/>
      <c r="I74" s="23"/>
      <c r="J74" s="21"/>
      <c r="K74" s="21"/>
      <c r="L74" s="21"/>
      <c r="M74" s="21"/>
      <c r="N74" s="21"/>
      <c r="O74" s="21"/>
      <c r="P74" s="21"/>
      <c r="Q74" s="21"/>
      <c r="R74" s="21"/>
      <c r="S74" s="21"/>
      <c r="T74" s="21"/>
      <c r="U74" s="21"/>
      <c r="V74" s="21"/>
      <c r="W74" s="21"/>
      <c r="X74" s="21"/>
      <c r="Y74" s="21"/>
      <c r="Z74" s="21"/>
      <c r="AA74" s="21"/>
      <c r="AB74" s="21"/>
      <c r="AC74" s="21"/>
      <c r="AD74" s="21"/>
      <c r="AE74" s="21"/>
    </row>
    <row r="75" spans="1:31" s="71" customFormat="1" ht="44.1" customHeight="1" thickTop="1" thickBot="1" x14ac:dyDescent="0.3">
      <c r="A75" s="63"/>
      <c r="B75" s="23">
        <f t="shared" si="1"/>
        <v>0</v>
      </c>
      <c r="C75" s="77">
        <v>68</v>
      </c>
      <c r="D75" s="254"/>
      <c r="E75" s="255"/>
      <c r="F75" s="253"/>
      <c r="G75" s="256"/>
      <c r="H75" s="257"/>
      <c r="I75" s="23"/>
      <c r="J75" s="21"/>
      <c r="K75" s="21"/>
      <c r="L75" s="21"/>
      <c r="M75" s="21"/>
      <c r="N75" s="21"/>
      <c r="O75" s="21"/>
      <c r="P75" s="21"/>
      <c r="Q75" s="21"/>
      <c r="R75" s="21"/>
      <c r="S75" s="21"/>
      <c r="T75" s="21"/>
      <c r="U75" s="21"/>
      <c r="V75" s="21"/>
      <c r="W75" s="21"/>
      <c r="X75" s="21"/>
      <c r="Y75" s="21"/>
      <c r="Z75" s="21"/>
      <c r="AA75" s="21"/>
      <c r="AB75" s="21"/>
      <c r="AC75" s="21"/>
      <c r="AD75" s="21"/>
      <c r="AE75" s="21"/>
    </row>
    <row r="76" spans="1:31" s="71" customFormat="1" ht="44.1" customHeight="1" thickTop="1" thickBot="1" x14ac:dyDescent="0.3">
      <c r="A76" s="63"/>
      <c r="B76" s="23">
        <f t="shared" si="1"/>
        <v>0</v>
      </c>
      <c r="C76" s="77">
        <v>69</v>
      </c>
      <c r="D76" s="254"/>
      <c r="E76" s="255"/>
      <c r="F76" s="253"/>
      <c r="G76" s="256"/>
      <c r="H76" s="257"/>
      <c r="I76" s="23"/>
      <c r="J76" s="21"/>
      <c r="K76" s="21"/>
      <c r="L76" s="21"/>
      <c r="M76" s="21"/>
      <c r="N76" s="21"/>
      <c r="O76" s="21"/>
      <c r="P76" s="21"/>
      <c r="Q76" s="21"/>
      <c r="R76" s="21"/>
      <c r="S76" s="21"/>
      <c r="T76" s="21"/>
      <c r="U76" s="21"/>
      <c r="V76" s="21"/>
      <c r="W76" s="21"/>
      <c r="X76" s="21"/>
      <c r="Y76" s="21"/>
      <c r="Z76" s="21"/>
      <c r="AA76" s="21"/>
      <c r="AB76" s="21"/>
      <c r="AC76" s="21"/>
      <c r="AD76" s="21"/>
      <c r="AE76" s="21"/>
    </row>
    <row r="77" spans="1:31" s="71" customFormat="1" ht="44.1" customHeight="1" thickTop="1" thickBot="1" x14ac:dyDescent="0.3">
      <c r="A77" s="63"/>
      <c r="B77" s="23">
        <f t="shared" si="1"/>
        <v>0</v>
      </c>
      <c r="C77" s="77">
        <v>70</v>
      </c>
      <c r="D77" s="254"/>
      <c r="E77" s="255"/>
      <c r="F77" s="253"/>
      <c r="G77" s="256"/>
      <c r="H77" s="257"/>
      <c r="I77" s="23"/>
      <c r="J77" s="21"/>
      <c r="K77" s="21"/>
      <c r="L77" s="21"/>
      <c r="M77" s="21"/>
      <c r="N77" s="21"/>
      <c r="O77" s="21"/>
      <c r="P77" s="21"/>
      <c r="Q77" s="21"/>
      <c r="R77" s="21"/>
      <c r="S77" s="21"/>
      <c r="T77" s="21"/>
      <c r="U77" s="21"/>
      <c r="V77" s="21"/>
      <c r="W77" s="21"/>
      <c r="X77" s="21"/>
      <c r="Y77" s="21"/>
      <c r="Z77" s="21"/>
      <c r="AA77" s="21"/>
      <c r="AB77" s="21"/>
      <c r="AC77" s="21"/>
      <c r="AD77" s="21"/>
      <c r="AE77" s="21"/>
    </row>
    <row r="78" spans="1:31" s="71" customFormat="1" ht="44.1" customHeight="1" thickTop="1" thickBot="1" x14ac:dyDescent="0.3">
      <c r="A78" s="63"/>
      <c r="B78" s="23">
        <f t="shared" si="1"/>
        <v>0</v>
      </c>
      <c r="C78" s="77">
        <v>71</v>
      </c>
      <c r="D78" s="254"/>
      <c r="E78" s="255"/>
      <c r="F78" s="253"/>
      <c r="G78" s="256"/>
      <c r="H78" s="257"/>
      <c r="I78" s="23"/>
      <c r="J78" s="21"/>
      <c r="K78" s="21"/>
      <c r="L78" s="21"/>
      <c r="M78" s="21"/>
      <c r="N78" s="21"/>
      <c r="O78" s="21"/>
      <c r="P78" s="21"/>
      <c r="Q78" s="21"/>
      <c r="R78" s="21"/>
      <c r="S78" s="21"/>
      <c r="T78" s="21"/>
      <c r="U78" s="21"/>
      <c r="V78" s="21"/>
      <c r="W78" s="21"/>
      <c r="X78" s="21"/>
      <c r="Y78" s="21"/>
      <c r="Z78" s="21"/>
      <c r="AA78" s="21"/>
      <c r="AB78" s="21"/>
      <c r="AC78" s="21"/>
      <c r="AD78" s="21"/>
      <c r="AE78" s="21"/>
    </row>
    <row r="79" spans="1:31" s="71" customFormat="1" ht="44.1" customHeight="1" thickTop="1" thickBot="1" x14ac:dyDescent="0.3">
      <c r="A79" s="63"/>
      <c r="B79" s="23">
        <f t="shared" si="1"/>
        <v>0</v>
      </c>
      <c r="C79" s="77">
        <v>72</v>
      </c>
      <c r="D79" s="254"/>
      <c r="E79" s="255"/>
      <c r="F79" s="253"/>
      <c r="G79" s="256"/>
      <c r="H79" s="257"/>
      <c r="I79" s="23"/>
      <c r="J79" s="21"/>
      <c r="K79" s="21"/>
      <c r="L79" s="21"/>
      <c r="M79" s="21"/>
      <c r="N79" s="21"/>
      <c r="O79" s="21"/>
      <c r="P79" s="21"/>
      <c r="Q79" s="21"/>
      <c r="R79" s="21"/>
      <c r="S79" s="21"/>
      <c r="T79" s="21"/>
      <c r="U79" s="21"/>
      <c r="V79" s="21"/>
      <c r="W79" s="21"/>
      <c r="X79" s="21"/>
      <c r="Y79" s="21"/>
      <c r="Z79" s="21"/>
      <c r="AA79" s="21"/>
      <c r="AB79" s="21"/>
      <c r="AC79" s="21"/>
      <c r="AD79" s="21"/>
      <c r="AE79" s="21"/>
    </row>
    <row r="80" spans="1:31" s="71" customFormat="1" ht="44.1" customHeight="1" thickTop="1" thickBot="1" x14ac:dyDescent="0.3">
      <c r="A80" s="63"/>
      <c r="B80" s="23">
        <f t="shared" si="1"/>
        <v>0</v>
      </c>
      <c r="C80" s="77">
        <v>73</v>
      </c>
      <c r="D80" s="254"/>
      <c r="E80" s="255"/>
      <c r="F80" s="253"/>
      <c r="G80" s="256"/>
      <c r="H80" s="257"/>
      <c r="I80" s="23"/>
      <c r="J80" s="21"/>
      <c r="K80" s="21"/>
      <c r="L80" s="21"/>
      <c r="M80" s="21"/>
      <c r="N80" s="21"/>
      <c r="O80" s="21"/>
      <c r="P80" s="21"/>
      <c r="Q80" s="21"/>
      <c r="R80" s="21"/>
      <c r="S80" s="21"/>
      <c r="T80" s="21"/>
      <c r="U80" s="21"/>
      <c r="V80" s="21"/>
      <c r="W80" s="21"/>
      <c r="X80" s="21"/>
      <c r="Y80" s="21"/>
      <c r="Z80" s="21"/>
      <c r="AA80" s="21"/>
      <c r="AB80" s="21"/>
      <c r="AC80" s="21"/>
      <c r="AD80" s="21"/>
      <c r="AE80" s="21"/>
    </row>
    <row r="81" spans="1:31" s="71" customFormat="1" ht="44.1" customHeight="1" thickTop="1" thickBot="1" x14ac:dyDescent="0.3">
      <c r="A81" s="63"/>
      <c r="B81" s="23">
        <f t="shared" si="1"/>
        <v>0</v>
      </c>
      <c r="C81" s="77">
        <v>74</v>
      </c>
      <c r="D81" s="254"/>
      <c r="E81" s="255"/>
      <c r="F81" s="253"/>
      <c r="G81" s="256"/>
      <c r="H81" s="257"/>
      <c r="I81" s="23"/>
      <c r="J81" s="21"/>
      <c r="K81" s="21"/>
      <c r="L81" s="21"/>
      <c r="M81" s="21"/>
      <c r="N81" s="21"/>
      <c r="O81" s="21"/>
      <c r="P81" s="21"/>
      <c r="Q81" s="21"/>
      <c r="R81" s="21"/>
      <c r="S81" s="21"/>
      <c r="T81" s="21"/>
      <c r="U81" s="21"/>
      <c r="V81" s="21"/>
      <c r="W81" s="21"/>
      <c r="X81" s="21"/>
      <c r="Y81" s="21"/>
      <c r="Z81" s="21"/>
      <c r="AA81" s="21"/>
      <c r="AB81" s="21"/>
      <c r="AC81" s="21"/>
      <c r="AD81" s="21"/>
      <c r="AE81" s="21"/>
    </row>
    <row r="82" spans="1:31" s="71" customFormat="1" ht="44.1" customHeight="1" thickTop="1" thickBot="1" x14ac:dyDescent="0.3">
      <c r="A82" s="63"/>
      <c r="B82" s="23">
        <f t="shared" si="1"/>
        <v>0</v>
      </c>
      <c r="C82" s="77">
        <v>75</v>
      </c>
      <c r="D82" s="254"/>
      <c r="E82" s="255"/>
      <c r="F82" s="253"/>
      <c r="G82" s="256"/>
      <c r="H82" s="257"/>
      <c r="I82" s="23"/>
      <c r="J82" s="21"/>
      <c r="K82" s="21"/>
      <c r="L82" s="21"/>
      <c r="M82" s="21"/>
      <c r="N82" s="21"/>
      <c r="O82" s="21"/>
      <c r="P82" s="21"/>
      <c r="Q82" s="21"/>
      <c r="R82" s="21"/>
      <c r="S82" s="21"/>
      <c r="T82" s="21"/>
      <c r="U82" s="21"/>
      <c r="V82" s="21"/>
      <c r="W82" s="21"/>
      <c r="X82" s="21"/>
      <c r="Y82" s="21"/>
      <c r="Z82" s="21"/>
      <c r="AA82" s="21"/>
      <c r="AB82" s="21"/>
      <c r="AC82" s="21"/>
      <c r="AD82" s="21"/>
      <c r="AE82" s="21"/>
    </row>
    <row r="83" spans="1:31" s="71" customFormat="1" ht="44.1" customHeight="1" thickTop="1" thickBot="1" x14ac:dyDescent="0.3">
      <c r="A83" s="63"/>
      <c r="B83" s="23">
        <f t="shared" si="1"/>
        <v>0</v>
      </c>
      <c r="C83" s="77">
        <v>76</v>
      </c>
      <c r="D83" s="254"/>
      <c r="E83" s="255"/>
      <c r="F83" s="253"/>
      <c r="G83" s="256"/>
      <c r="H83" s="257"/>
      <c r="I83" s="23"/>
      <c r="J83" s="21"/>
      <c r="K83" s="21"/>
      <c r="L83" s="21"/>
      <c r="M83" s="21"/>
      <c r="N83" s="21"/>
      <c r="O83" s="21"/>
      <c r="P83" s="21"/>
      <c r="Q83" s="21"/>
      <c r="R83" s="21"/>
      <c r="S83" s="21"/>
      <c r="T83" s="21"/>
      <c r="U83" s="21"/>
      <c r="V83" s="21"/>
      <c r="W83" s="21"/>
      <c r="X83" s="21"/>
      <c r="Y83" s="21"/>
      <c r="Z83" s="21"/>
      <c r="AA83" s="21"/>
      <c r="AB83" s="21"/>
      <c r="AC83" s="21"/>
      <c r="AD83" s="21"/>
      <c r="AE83" s="21"/>
    </row>
    <row r="84" spans="1:31" s="71" customFormat="1" ht="44.1" customHeight="1" thickTop="1" thickBot="1" x14ac:dyDescent="0.3">
      <c r="A84" s="63"/>
      <c r="B84" s="23">
        <f t="shared" si="1"/>
        <v>0</v>
      </c>
      <c r="C84" s="77">
        <v>77</v>
      </c>
      <c r="D84" s="254"/>
      <c r="E84" s="255"/>
      <c r="F84" s="253"/>
      <c r="G84" s="256"/>
      <c r="H84" s="257"/>
      <c r="I84" s="23"/>
      <c r="J84" s="21"/>
      <c r="K84" s="21"/>
      <c r="L84" s="21"/>
      <c r="M84" s="21"/>
      <c r="N84" s="21"/>
      <c r="O84" s="21"/>
      <c r="P84" s="21"/>
      <c r="Q84" s="21"/>
      <c r="R84" s="21"/>
      <c r="S84" s="21"/>
      <c r="T84" s="21"/>
      <c r="U84" s="21"/>
      <c r="V84" s="21"/>
      <c r="W84" s="21"/>
      <c r="X84" s="21"/>
      <c r="Y84" s="21"/>
      <c r="Z84" s="21"/>
      <c r="AA84" s="21"/>
      <c r="AB84" s="21"/>
      <c r="AC84" s="21"/>
      <c r="AD84" s="21"/>
      <c r="AE84" s="21"/>
    </row>
    <row r="85" spans="1:31" s="71" customFormat="1" ht="44.1" customHeight="1" thickTop="1" thickBot="1" x14ac:dyDescent="0.3">
      <c r="A85" s="63"/>
      <c r="B85" s="23">
        <f t="shared" si="1"/>
        <v>0</v>
      </c>
      <c r="C85" s="77">
        <v>78</v>
      </c>
      <c r="D85" s="254"/>
      <c r="E85" s="255"/>
      <c r="F85" s="253"/>
      <c r="G85" s="256"/>
      <c r="H85" s="257"/>
      <c r="I85" s="23"/>
      <c r="J85" s="21"/>
      <c r="K85" s="21"/>
      <c r="L85" s="21"/>
      <c r="M85" s="21"/>
      <c r="N85" s="21"/>
      <c r="O85" s="21"/>
      <c r="P85" s="21"/>
      <c r="Q85" s="21"/>
      <c r="R85" s="21"/>
      <c r="S85" s="21"/>
      <c r="T85" s="21"/>
      <c r="U85" s="21"/>
      <c r="V85" s="21"/>
      <c r="W85" s="21"/>
      <c r="X85" s="21"/>
      <c r="Y85" s="21"/>
      <c r="Z85" s="21"/>
      <c r="AA85" s="21"/>
      <c r="AB85" s="21"/>
      <c r="AC85" s="21"/>
      <c r="AD85" s="21"/>
      <c r="AE85" s="21"/>
    </row>
    <row r="86" spans="1:31" s="71" customFormat="1" ht="44.1" customHeight="1" thickTop="1" thickBot="1" x14ac:dyDescent="0.3">
      <c r="A86" s="63"/>
      <c r="B86" s="23">
        <f t="shared" si="1"/>
        <v>0</v>
      </c>
      <c r="C86" s="77">
        <v>79</v>
      </c>
      <c r="D86" s="254"/>
      <c r="E86" s="255"/>
      <c r="F86" s="253"/>
      <c r="G86" s="256"/>
      <c r="H86" s="257"/>
      <c r="I86" s="23"/>
      <c r="J86" s="21"/>
      <c r="K86" s="21"/>
      <c r="L86" s="21"/>
      <c r="M86" s="21"/>
      <c r="N86" s="21"/>
      <c r="O86" s="21"/>
      <c r="P86" s="21"/>
      <c r="Q86" s="21"/>
      <c r="R86" s="21"/>
      <c r="S86" s="21"/>
      <c r="T86" s="21"/>
      <c r="U86" s="21"/>
      <c r="V86" s="21"/>
      <c r="W86" s="21"/>
      <c r="X86" s="21"/>
      <c r="Y86" s="21"/>
      <c r="Z86" s="21"/>
      <c r="AA86" s="21"/>
      <c r="AB86" s="21"/>
      <c r="AC86" s="21"/>
      <c r="AD86" s="21"/>
      <c r="AE86" s="21"/>
    </row>
    <row r="87" spans="1:31" s="71" customFormat="1" ht="44.1" customHeight="1" thickTop="1" thickBot="1" x14ac:dyDescent="0.3">
      <c r="A87" s="63"/>
      <c r="B87" s="23">
        <f t="shared" si="1"/>
        <v>0</v>
      </c>
      <c r="C87" s="77">
        <v>80</v>
      </c>
      <c r="D87" s="254"/>
      <c r="E87" s="255"/>
      <c r="F87" s="253"/>
      <c r="G87" s="256"/>
      <c r="H87" s="257"/>
      <c r="I87" s="23"/>
      <c r="J87" s="21"/>
      <c r="K87" s="21"/>
      <c r="L87" s="21"/>
      <c r="M87" s="21"/>
      <c r="N87" s="21"/>
      <c r="O87" s="21"/>
      <c r="P87" s="21"/>
      <c r="Q87" s="21"/>
      <c r="R87" s="21"/>
      <c r="S87" s="21"/>
      <c r="T87" s="21"/>
      <c r="U87" s="21"/>
      <c r="V87" s="21"/>
      <c r="W87" s="21"/>
      <c r="X87" s="21"/>
      <c r="Y87" s="21"/>
      <c r="Z87" s="21"/>
      <c r="AA87" s="21"/>
      <c r="AB87" s="21"/>
      <c r="AC87" s="21"/>
      <c r="AD87" s="21"/>
      <c r="AE87" s="21"/>
    </row>
    <row r="88" spans="1:31" s="71" customFormat="1" ht="44.1" customHeight="1" thickTop="1" thickBot="1" x14ac:dyDescent="0.3">
      <c r="A88" s="63"/>
      <c r="B88" s="23">
        <f t="shared" si="1"/>
        <v>0</v>
      </c>
      <c r="C88" s="77">
        <v>81</v>
      </c>
      <c r="D88" s="254"/>
      <c r="E88" s="255"/>
      <c r="F88" s="253"/>
      <c r="G88" s="256"/>
      <c r="H88" s="257"/>
      <c r="I88" s="23"/>
      <c r="J88" s="21"/>
      <c r="K88" s="21"/>
      <c r="L88" s="21"/>
      <c r="M88" s="21"/>
      <c r="N88" s="21"/>
      <c r="O88" s="21"/>
      <c r="P88" s="21"/>
      <c r="Q88" s="21"/>
      <c r="R88" s="21"/>
      <c r="S88" s="21"/>
      <c r="T88" s="21"/>
      <c r="U88" s="21"/>
      <c r="V88" s="21"/>
      <c r="W88" s="21"/>
      <c r="X88" s="21"/>
      <c r="Y88" s="21"/>
      <c r="Z88" s="21"/>
      <c r="AA88" s="21"/>
      <c r="AB88" s="21"/>
      <c r="AC88" s="21"/>
      <c r="AD88" s="21"/>
      <c r="AE88" s="21"/>
    </row>
    <row r="89" spans="1:31" s="71" customFormat="1" ht="44.1" customHeight="1" thickTop="1" thickBot="1" x14ac:dyDescent="0.3">
      <c r="A89" s="63"/>
      <c r="B89" s="23">
        <f t="shared" si="1"/>
        <v>0</v>
      </c>
      <c r="C89" s="77">
        <v>82</v>
      </c>
      <c r="D89" s="254"/>
      <c r="E89" s="255"/>
      <c r="F89" s="253"/>
      <c r="G89" s="256"/>
      <c r="H89" s="257"/>
      <c r="I89" s="23"/>
      <c r="J89" s="21"/>
      <c r="K89" s="21"/>
      <c r="L89" s="21"/>
      <c r="M89" s="21"/>
      <c r="N89" s="21"/>
      <c r="O89" s="21"/>
      <c r="P89" s="21"/>
      <c r="Q89" s="21"/>
      <c r="R89" s="21"/>
      <c r="S89" s="21"/>
      <c r="T89" s="21"/>
      <c r="U89" s="21"/>
      <c r="V89" s="21"/>
      <c r="W89" s="21"/>
      <c r="X89" s="21"/>
      <c r="Y89" s="21"/>
      <c r="Z89" s="21"/>
      <c r="AA89" s="21"/>
      <c r="AB89" s="21"/>
      <c r="AC89" s="21"/>
      <c r="AD89" s="21"/>
      <c r="AE89" s="21"/>
    </row>
    <row r="90" spans="1:31" s="71" customFormat="1" ht="44.1" customHeight="1" thickTop="1" thickBot="1" x14ac:dyDescent="0.3">
      <c r="A90" s="63"/>
      <c r="B90" s="23">
        <f t="shared" si="1"/>
        <v>0</v>
      </c>
      <c r="C90" s="77">
        <v>83</v>
      </c>
      <c r="D90" s="254"/>
      <c r="E90" s="255"/>
      <c r="F90" s="253"/>
      <c r="G90" s="256"/>
      <c r="H90" s="257"/>
      <c r="I90" s="23"/>
      <c r="J90" s="21"/>
      <c r="K90" s="21"/>
      <c r="L90" s="21"/>
      <c r="M90" s="21"/>
      <c r="N90" s="21"/>
      <c r="O90" s="21"/>
      <c r="P90" s="21"/>
      <c r="Q90" s="21"/>
      <c r="R90" s="21"/>
      <c r="S90" s="21"/>
      <c r="T90" s="21"/>
      <c r="U90" s="21"/>
      <c r="V90" s="21"/>
      <c r="W90" s="21"/>
      <c r="X90" s="21"/>
      <c r="Y90" s="21"/>
      <c r="Z90" s="21"/>
      <c r="AA90" s="21"/>
      <c r="AB90" s="21"/>
      <c r="AC90" s="21"/>
      <c r="AD90" s="21"/>
      <c r="AE90" s="21"/>
    </row>
    <row r="91" spans="1:31" s="71" customFormat="1" ht="44.1" customHeight="1" thickTop="1" thickBot="1" x14ac:dyDescent="0.3">
      <c r="A91" s="63"/>
      <c r="B91" s="23">
        <f t="shared" si="1"/>
        <v>0</v>
      </c>
      <c r="C91" s="77">
        <v>84</v>
      </c>
      <c r="D91" s="254"/>
      <c r="E91" s="255"/>
      <c r="F91" s="253"/>
      <c r="G91" s="256"/>
      <c r="H91" s="257"/>
      <c r="I91" s="23"/>
      <c r="J91" s="21"/>
      <c r="K91" s="21"/>
      <c r="L91" s="21"/>
      <c r="M91" s="21"/>
      <c r="N91" s="21"/>
      <c r="O91" s="21"/>
      <c r="P91" s="21"/>
      <c r="Q91" s="21"/>
      <c r="R91" s="21"/>
      <c r="S91" s="21"/>
      <c r="T91" s="21"/>
      <c r="U91" s="21"/>
      <c r="V91" s="21"/>
      <c r="W91" s="21"/>
      <c r="X91" s="21"/>
      <c r="Y91" s="21"/>
      <c r="Z91" s="21"/>
      <c r="AA91" s="21"/>
      <c r="AB91" s="21"/>
      <c r="AC91" s="21"/>
      <c r="AD91" s="21"/>
      <c r="AE91" s="21"/>
    </row>
    <row r="92" spans="1:31" s="71" customFormat="1" ht="44.1" customHeight="1" thickTop="1" thickBot="1" x14ac:dyDescent="0.3">
      <c r="A92" s="63"/>
      <c r="B92" s="23">
        <f t="shared" si="1"/>
        <v>0</v>
      </c>
      <c r="C92" s="77">
        <v>85</v>
      </c>
      <c r="D92" s="254"/>
      <c r="E92" s="255"/>
      <c r="F92" s="253"/>
      <c r="G92" s="256"/>
      <c r="H92" s="257"/>
      <c r="I92" s="23"/>
      <c r="J92" s="21"/>
      <c r="K92" s="21"/>
      <c r="L92" s="21"/>
      <c r="M92" s="21"/>
      <c r="N92" s="21"/>
      <c r="O92" s="21"/>
      <c r="P92" s="21"/>
      <c r="Q92" s="21"/>
      <c r="R92" s="21"/>
      <c r="S92" s="21"/>
      <c r="T92" s="21"/>
      <c r="U92" s="21"/>
      <c r="V92" s="21"/>
      <c r="W92" s="21"/>
      <c r="X92" s="21"/>
      <c r="Y92" s="21"/>
      <c r="Z92" s="21"/>
      <c r="AA92" s="21"/>
      <c r="AB92" s="21"/>
      <c r="AC92" s="21"/>
      <c r="AD92" s="21"/>
      <c r="AE92" s="21"/>
    </row>
    <row r="93" spans="1:31" s="71" customFormat="1" ht="44.1" customHeight="1" thickTop="1" thickBot="1" x14ac:dyDescent="0.3">
      <c r="A93" s="63"/>
      <c r="B93" s="23">
        <f t="shared" si="1"/>
        <v>0</v>
      </c>
      <c r="C93" s="77">
        <v>86</v>
      </c>
      <c r="D93" s="254"/>
      <c r="E93" s="255"/>
      <c r="F93" s="253"/>
      <c r="G93" s="256"/>
      <c r="H93" s="257"/>
      <c r="I93" s="23"/>
      <c r="J93" s="21"/>
      <c r="K93" s="21"/>
      <c r="L93" s="21"/>
      <c r="M93" s="21"/>
      <c r="N93" s="21"/>
      <c r="O93" s="21"/>
      <c r="P93" s="21"/>
      <c r="Q93" s="21"/>
      <c r="R93" s="21"/>
      <c r="S93" s="21"/>
      <c r="T93" s="21"/>
      <c r="U93" s="21"/>
      <c r="V93" s="21"/>
      <c r="W93" s="21"/>
      <c r="X93" s="21"/>
      <c r="Y93" s="21"/>
      <c r="Z93" s="21"/>
      <c r="AA93" s="21"/>
      <c r="AB93" s="21"/>
      <c r="AC93" s="21"/>
      <c r="AD93" s="21"/>
      <c r="AE93" s="21"/>
    </row>
    <row r="94" spans="1:31" s="71" customFormat="1" ht="44.1" customHeight="1" thickTop="1" thickBot="1" x14ac:dyDescent="0.3">
      <c r="A94" s="63"/>
      <c r="B94" s="23">
        <f t="shared" si="1"/>
        <v>0</v>
      </c>
      <c r="C94" s="77">
        <v>87</v>
      </c>
      <c r="D94" s="254"/>
      <c r="E94" s="255"/>
      <c r="F94" s="253"/>
      <c r="G94" s="256"/>
      <c r="H94" s="257"/>
      <c r="I94" s="23"/>
      <c r="J94" s="21"/>
      <c r="K94" s="21"/>
      <c r="L94" s="21"/>
      <c r="M94" s="21"/>
      <c r="N94" s="21"/>
      <c r="O94" s="21"/>
      <c r="P94" s="21"/>
      <c r="Q94" s="21"/>
      <c r="R94" s="21"/>
      <c r="S94" s="21"/>
      <c r="T94" s="21"/>
      <c r="U94" s="21"/>
      <c r="V94" s="21"/>
      <c r="W94" s="21"/>
      <c r="X94" s="21"/>
      <c r="Y94" s="21"/>
      <c r="Z94" s="21"/>
      <c r="AA94" s="21"/>
      <c r="AB94" s="21"/>
      <c r="AC94" s="21"/>
      <c r="AD94" s="21"/>
      <c r="AE94" s="21"/>
    </row>
    <row r="95" spans="1:31" s="71" customFormat="1" ht="44.1" customHeight="1" thickTop="1" thickBot="1" x14ac:dyDescent="0.3">
      <c r="A95" s="63"/>
      <c r="B95" s="23">
        <f t="shared" si="1"/>
        <v>0</v>
      </c>
      <c r="C95" s="77">
        <v>88</v>
      </c>
      <c r="D95" s="254"/>
      <c r="E95" s="255"/>
      <c r="F95" s="253"/>
      <c r="G95" s="256"/>
      <c r="H95" s="257"/>
      <c r="I95" s="23"/>
      <c r="J95" s="21"/>
      <c r="K95" s="21"/>
      <c r="L95" s="21"/>
      <c r="M95" s="21"/>
      <c r="N95" s="21"/>
      <c r="O95" s="21"/>
      <c r="P95" s="21"/>
      <c r="Q95" s="21"/>
      <c r="R95" s="21"/>
      <c r="S95" s="21"/>
      <c r="T95" s="21"/>
      <c r="U95" s="21"/>
      <c r="V95" s="21"/>
      <c r="W95" s="21"/>
      <c r="X95" s="21"/>
      <c r="Y95" s="21"/>
      <c r="Z95" s="21"/>
      <c r="AA95" s="21"/>
      <c r="AB95" s="21"/>
      <c r="AC95" s="21"/>
      <c r="AD95" s="21"/>
      <c r="AE95" s="21"/>
    </row>
    <row r="96" spans="1:31" s="71" customFormat="1" ht="44.1" customHeight="1" thickTop="1" thickBot="1" x14ac:dyDescent="0.3">
      <c r="A96" s="63"/>
      <c r="B96" s="23">
        <f t="shared" si="1"/>
        <v>0</v>
      </c>
      <c r="C96" s="77">
        <v>89</v>
      </c>
      <c r="D96" s="254"/>
      <c r="E96" s="255"/>
      <c r="F96" s="253"/>
      <c r="G96" s="256"/>
      <c r="H96" s="257"/>
      <c r="I96" s="23"/>
      <c r="J96" s="21"/>
      <c r="K96" s="21"/>
      <c r="L96" s="21"/>
      <c r="M96" s="21"/>
      <c r="N96" s="21"/>
      <c r="O96" s="21"/>
      <c r="P96" s="21"/>
      <c r="Q96" s="21"/>
      <c r="R96" s="21"/>
      <c r="S96" s="21"/>
      <c r="T96" s="21"/>
      <c r="U96" s="21"/>
      <c r="V96" s="21"/>
      <c r="W96" s="21"/>
      <c r="X96" s="21"/>
      <c r="Y96" s="21"/>
      <c r="Z96" s="21"/>
      <c r="AA96" s="21"/>
      <c r="AB96" s="21"/>
      <c r="AC96" s="21"/>
      <c r="AD96" s="21"/>
      <c r="AE96" s="21"/>
    </row>
    <row r="97" spans="1:31" s="71" customFormat="1" ht="15.75" thickTop="1" x14ac:dyDescent="0.25">
      <c r="A97" s="63"/>
      <c r="B97" s="23"/>
      <c r="I97" s="23"/>
      <c r="J97" s="21"/>
      <c r="K97" s="21"/>
      <c r="L97" s="21"/>
      <c r="M97" s="21"/>
      <c r="N97" s="21"/>
      <c r="O97" s="21"/>
      <c r="P97" s="21"/>
      <c r="Q97" s="21"/>
      <c r="R97" s="21"/>
      <c r="S97" s="21"/>
      <c r="T97" s="21"/>
      <c r="U97" s="21"/>
      <c r="V97" s="21"/>
      <c r="W97" s="21"/>
      <c r="X97" s="21"/>
      <c r="Y97" s="21"/>
      <c r="Z97" s="21"/>
      <c r="AA97" s="21"/>
      <c r="AB97" s="21"/>
      <c r="AC97" s="21"/>
      <c r="AD97" s="21"/>
      <c r="AE97" s="21"/>
    </row>
  </sheetData>
  <sheetProtection password="9084" sheet="1" objects="1" scenarios="1" selectLockedCells="1"/>
  <dataValidations count="2">
    <dataValidation type="date" allowBlank="1" showInputMessage="1" showErrorMessage="1" sqref="G8:G96">
      <formula1>41933</formula1>
      <formula2>73050</formula2>
    </dataValidation>
    <dataValidation type="list" allowBlank="1" showInputMessage="1" showErrorMessage="1" sqref="D8:D96">
      <formula1>ListaCausas</formula1>
    </dataValidation>
  </dataValidations>
  <pageMargins left="0.511811024" right="0.511811024" top="0.78740157499999996" bottom="0.78740157499999996" header="0.31496062000000002" footer="0.31496062000000002"/>
  <pageSetup paperSize="9" scale="1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0"/>
  <sheetViews>
    <sheetView showGridLines="0" zoomScaleNormal="100" workbookViewId="0">
      <selection activeCell="F8" sqref="F8"/>
    </sheetView>
  </sheetViews>
  <sheetFormatPr defaultColWidth="8.85546875" defaultRowHeight="15" x14ac:dyDescent="0.25"/>
  <cols>
    <col min="1" max="2" width="1.7109375" style="63" customWidth="1"/>
    <col min="3" max="3" width="33" style="63" bestFit="1" customWidth="1"/>
    <col min="4" max="4" width="32.5703125" style="63" bestFit="1" customWidth="1"/>
    <col min="5" max="5" width="14.28515625" style="63" customWidth="1"/>
    <col min="6" max="6" width="11.85546875" style="63" bestFit="1" customWidth="1"/>
    <col min="7" max="7" width="20.42578125" style="63" bestFit="1" customWidth="1"/>
    <col min="8" max="8" width="16.28515625" style="63" bestFit="1" customWidth="1"/>
    <col min="9" max="9" width="19.7109375" style="63" customWidth="1"/>
    <col min="10" max="10" width="31.85546875" style="63" customWidth="1"/>
    <col min="11" max="15" width="8.85546875" style="31" customWidth="1"/>
    <col min="16" max="22" width="8.85546875" style="20" customWidth="1"/>
    <col min="23" max="49" width="8.85546875" style="63" customWidth="1"/>
    <col min="50" max="16384" width="8.85546875" style="63"/>
  </cols>
  <sheetData>
    <row r="1" spans="1:22" s="14" customFormat="1" ht="30" customHeight="1" x14ac:dyDescent="0.25">
      <c r="K1" s="15"/>
      <c r="L1" s="15"/>
      <c r="M1" s="15"/>
    </row>
    <row r="2" spans="1:22" s="16" customFormat="1" ht="24.95" customHeight="1" x14ac:dyDescent="0.25">
      <c r="K2" s="17"/>
      <c r="L2" s="17"/>
      <c r="M2" s="17"/>
    </row>
    <row r="3" spans="1:22" s="18" customFormat="1" ht="20.100000000000001" customHeight="1" x14ac:dyDescent="0.25">
      <c r="K3" s="19"/>
      <c r="L3" s="19"/>
      <c r="M3" s="19"/>
    </row>
    <row r="4" spans="1:22" s="83" customFormat="1" ht="23.25" x14ac:dyDescent="0.25">
      <c r="C4" s="64" t="s">
        <v>127</v>
      </c>
      <c r="D4" s="65"/>
      <c r="E4" s="65"/>
      <c r="F4" s="65"/>
      <c r="G4" s="65"/>
      <c r="H4" s="65"/>
      <c r="I4" s="65"/>
      <c r="J4" s="65"/>
      <c r="K4" s="84"/>
      <c r="L4" s="84"/>
      <c r="M4" s="84"/>
      <c r="N4" s="85"/>
      <c r="O4" s="85"/>
      <c r="P4" s="34"/>
      <c r="Q4" s="34"/>
      <c r="R4" s="34"/>
      <c r="S4" s="34"/>
      <c r="T4" s="34"/>
      <c r="U4" s="34"/>
      <c r="V4" s="34"/>
    </row>
    <row r="5" spans="1:22" s="83" customFormat="1" ht="20.100000000000001" customHeight="1" thickBot="1" x14ac:dyDescent="0.3">
      <c r="E5" s="85"/>
      <c r="F5" s="85"/>
      <c r="G5" s="85"/>
      <c r="K5" s="85"/>
      <c r="L5" s="85"/>
      <c r="M5" s="85"/>
      <c r="N5" s="85"/>
      <c r="O5" s="85"/>
      <c r="P5" s="34"/>
      <c r="Q5" s="34"/>
      <c r="R5" s="34"/>
      <c r="S5" s="34"/>
      <c r="T5" s="34"/>
      <c r="U5" s="34"/>
      <c r="V5" s="34"/>
    </row>
    <row r="6" spans="1:22" s="71" customFormat="1" ht="51.6" customHeight="1" thickTop="1" thickBot="1" x14ac:dyDescent="0.3">
      <c r="A6" s="63"/>
      <c r="C6" s="70" t="s">
        <v>17</v>
      </c>
      <c r="D6" s="70" t="s">
        <v>5</v>
      </c>
      <c r="E6" s="69" t="s">
        <v>7</v>
      </c>
      <c r="F6" s="69" t="s">
        <v>8</v>
      </c>
      <c r="G6" s="69" t="s">
        <v>11</v>
      </c>
      <c r="H6" s="86" t="s">
        <v>12</v>
      </c>
      <c r="I6" s="86" t="s">
        <v>18</v>
      </c>
      <c r="J6" s="70" t="s">
        <v>46</v>
      </c>
      <c r="K6" s="23"/>
      <c r="L6" s="23"/>
      <c r="M6" s="23"/>
      <c r="N6" s="23"/>
      <c r="O6" s="23"/>
      <c r="P6" s="21"/>
      <c r="Q6" s="21"/>
      <c r="R6" s="21"/>
      <c r="S6" s="21"/>
      <c r="T6" s="21"/>
      <c r="U6" s="21"/>
      <c r="V6" s="21"/>
    </row>
    <row r="7" spans="1:22" s="71" customFormat="1" ht="32.1" customHeight="1" thickTop="1" thickBot="1" x14ac:dyDescent="0.3">
      <c r="A7" s="63"/>
      <c r="C7" s="73" t="s">
        <v>90</v>
      </c>
      <c r="D7" s="87" t="s">
        <v>91</v>
      </c>
      <c r="E7" s="88">
        <v>41932</v>
      </c>
      <c r="F7" s="89">
        <v>41937</v>
      </c>
      <c r="G7" s="90" t="s">
        <v>26</v>
      </c>
      <c r="H7" s="76" t="s">
        <v>14</v>
      </c>
      <c r="I7" s="76" t="s">
        <v>13</v>
      </c>
      <c r="J7" s="91" t="s">
        <v>93</v>
      </c>
      <c r="K7" s="23"/>
      <c r="L7" s="23"/>
      <c r="M7" s="23"/>
      <c r="N7" s="23"/>
      <c r="O7" s="23"/>
      <c r="P7" s="21"/>
      <c r="Q7" s="21"/>
      <c r="R7" s="21"/>
      <c r="S7" s="21"/>
      <c r="T7" s="21"/>
      <c r="U7" s="21"/>
      <c r="V7" s="21"/>
    </row>
    <row r="8" spans="1:22" s="21" customFormat="1" ht="33.950000000000003" customHeight="1" thickTop="1" thickBot="1" x14ac:dyDescent="0.3">
      <c r="A8" s="63"/>
      <c r="B8" s="71"/>
      <c r="C8" s="92" t="str">
        <f>IFERROR(IF(VLOOKUP(D8,Do!$B$8:$E$96,3,0)=0,"-",VLOOKUP(D8,Do!$B$8:$E$96,3,0)),"-")</f>
        <v>Excessivo número de ferramentas</v>
      </c>
      <c r="D8" s="92" t="str">
        <f>IF(Do!E8=0,"",Do!E8)</f>
        <v>Rever necessidade de ferramentas</v>
      </c>
      <c r="E8" s="93">
        <f>IFERROR(IF(D8=0,"-",VLOOKUP(D8,Do!$B$8:$G$96,6,FALSE)),"-")</f>
        <v>41955</v>
      </c>
      <c r="F8" s="10">
        <v>44916</v>
      </c>
      <c r="G8" s="94" t="str">
        <f>IFERROR(IF(E8="-","-",IF(F8="","Em andamento",IF((F8-E8)&lt;=Do!H8,"Concluído no prazo","Concluído com atraso"))),"-")</f>
        <v>Concluído com atraso</v>
      </c>
      <c r="H8" s="7" t="s">
        <v>14</v>
      </c>
      <c r="I8" s="8" t="s">
        <v>14</v>
      </c>
      <c r="J8" s="9"/>
      <c r="K8" s="23">
        <f>COUNTIF($G$8:$G$96,"Concluído no prazo")</f>
        <v>2</v>
      </c>
      <c r="L8" s="23">
        <f>COUNTIF($H$8:$H$96,"Sim")</f>
        <v>2</v>
      </c>
      <c r="M8" s="23">
        <f>COUNTIF($I$8:$I$96,"Sim")</f>
        <v>2</v>
      </c>
      <c r="N8" s="23"/>
      <c r="O8" s="23"/>
    </row>
    <row r="9" spans="1:22" s="21" customFormat="1" ht="33.950000000000003" customHeight="1" thickTop="1" thickBot="1" x14ac:dyDescent="0.3">
      <c r="A9" s="63"/>
      <c r="B9" s="95"/>
      <c r="C9" s="92" t="str">
        <f>IFERROR(IF(VLOOKUP(D9,Do!$B$8:$E$96,3,0)=0,"-",VLOOKUP(D9,Do!$B$8:$E$96,3,0)),"-")</f>
        <v>Ferramentas muito depreciadas</v>
      </c>
      <c r="D9" s="92" t="str">
        <f>IF(Do!E9=0,"-",Do!E9)</f>
        <v>Comprar ferramentas novas</v>
      </c>
      <c r="E9" s="93">
        <f>IFERROR(IF(D9=0,"-",VLOOKUP(D9,Do!$B$8:$G$96,6,FALSE)),"-")</f>
        <v>41958</v>
      </c>
      <c r="F9" s="10">
        <v>41963</v>
      </c>
      <c r="G9" s="96" t="str">
        <f>IFERROR(IF(E9="-","-",IF(F9="","Em andamento",IF((F9-E9)&lt;=Do!H9,"Concluído no prazo","Concluído com atraso"))),"")</f>
        <v>Concluído no prazo</v>
      </c>
      <c r="H9" s="7" t="s">
        <v>13</v>
      </c>
      <c r="I9" s="8" t="s">
        <v>14</v>
      </c>
      <c r="J9" s="9" t="s">
        <v>80</v>
      </c>
      <c r="K9" s="23">
        <f>COUNTIF($G$8:$G$96,"Concluído com atraso")</f>
        <v>2</v>
      </c>
      <c r="L9" s="23">
        <f>COUNTIF($H$8:$H$96,"Não")</f>
        <v>2</v>
      </c>
      <c r="M9" s="23">
        <f>COUNTIF($I$8:$I$96,"não")</f>
        <v>2</v>
      </c>
      <c r="N9" s="23"/>
      <c r="O9" s="23"/>
    </row>
    <row r="10" spans="1:22" s="21" customFormat="1" ht="33.950000000000003" customHeight="1" thickTop="1" thickBot="1" x14ac:dyDescent="0.3">
      <c r="A10" s="63"/>
      <c r="B10" s="71"/>
      <c r="C10" s="92" t="str">
        <f>IFERROR(IF(VLOOKUP(D10,Do!$B$8:$E$96,3,0)=0,"-",VLOOKUP(D10,Do!$B$8:$E$96,3,0)),"-")</f>
        <v>Modelo inadequado</v>
      </c>
      <c r="D10" s="92" t="str">
        <f>IF(Do!E10=0,"-",Do!E10)</f>
        <v>Rever processo</v>
      </c>
      <c r="E10" s="93">
        <f>IFERROR(IF(D10=0,"-",VLOOKUP(D10,Do!$B$8:$G$96,6,FALSE)),"-")</f>
        <v>41959</v>
      </c>
      <c r="F10" s="10">
        <v>41998</v>
      </c>
      <c r="G10" s="96" t="str">
        <f>IFERROR(IF(E10="-","-",IF(F10="","Em andamento",IF((F10-E10)&lt;=Do!H10,"Concluído no prazo","Concluído com atraso"))),"")</f>
        <v>Concluído com atraso</v>
      </c>
      <c r="H10" s="7" t="s">
        <v>13</v>
      </c>
      <c r="I10" s="8" t="s">
        <v>13</v>
      </c>
      <c r="J10" s="9" t="s">
        <v>82</v>
      </c>
      <c r="K10" s="23">
        <f>COUNTIF($G$8:$G$96,"Em andamento")</f>
        <v>1</v>
      </c>
      <c r="L10" s="97">
        <f>IF(L8=0,"",L8/(L8+L9))</f>
        <v>0.5</v>
      </c>
      <c r="M10" s="97">
        <f>IF(M8=0,"",M8/(M8+M9))</f>
        <v>0.5</v>
      </c>
      <c r="N10" s="23"/>
      <c r="O10" s="23"/>
    </row>
    <row r="11" spans="1:22" s="21" customFormat="1" ht="33.950000000000003" customHeight="1" thickTop="1" thickBot="1" x14ac:dyDescent="0.3">
      <c r="A11" s="63"/>
      <c r="B11" s="71"/>
      <c r="C11" s="92" t="str">
        <f>IFERROR(IF(VLOOKUP(D11,Do!$B$8:$E$96,3,0)=0,"-",VLOOKUP(D11,Do!$B$8:$E$96,3,0)),"-")</f>
        <v>Funcionários sem treinamento</v>
      </c>
      <c r="D11" s="92" t="str">
        <f>IF(Do!E11=0,"-",Do!E11)</f>
        <v>Treinar funcionários</v>
      </c>
      <c r="E11" s="93">
        <f>IFERROR(IF(D11=0,"-",VLOOKUP(D11,Do!$B$8:$G$96,6,FALSE)),"-")</f>
        <v>41959</v>
      </c>
      <c r="F11" s="10"/>
      <c r="G11" s="96" t="str">
        <f>IFERROR(IF(E11="-","-",IF(F11="","Em andamento",IF((F11-E11)&lt;=Do!H11,"Concluído no prazo","Concluído com atraso"))),"")</f>
        <v>Em andamento</v>
      </c>
      <c r="H11" s="7"/>
      <c r="I11" s="8"/>
      <c r="J11" s="9"/>
      <c r="K11" s="97">
        <f>IF(K8=0,"",K8/($K$8+$K$9+$K$10))</f>
        <v>0.4</v>
      </c>
      <c r="L11" s="97">
        <f>IF(L9=0,"",L9/(L8+L9))</f>
        <v>0.5</v>
      </c>
      <c r="M11" s="97">
        <f>IF(M9=0,"",M9/(M8+M9))</f>
        <v>0.5</v>
      </c>
      <c r="N11" s="23"/>
      <c r="O11" s="23"/>
    </row>
    <row r="12" spans="1:22" s="21" customFormat="1" ht="33.950000000000003" customHeight="1" thickTop="1" thickBot="1" x14ac:dyDescent="0.3">
      <c r="A12" s="63"/>
      <c r="B12" s="71"/>
      <c r="C12" s="92" t="str">
        <f>IFERROR(IF(VLOOKUP(D12,Do!$B$8:$E$96,3,0)=0,"-",VLOOKUP(D12,Do!$B$8:$E$96,3,0)),"-")</f>
        <v>Muitas máquinas paradas</v>
      </c>
      <c r="D12" s="92" t="str">
        <f>IF(Do!E12=0,"-",Do!E12)</f>
        <v>Realizar manutenção das máquinas</v>
      </c>
      <c r="E12" s="93">
        <f>IFERROR(IF(D12=0,"-",VLOOKUP(D12,Do!$B$8:$G$96,6,FALSE)),"-")</f>
        <v>41959</v>
      </c>
      <c r="F12" s="10">
        <v>41988</v>
      </c>
      <c r="G12" s="96" t="str">
        <f>IFERROR(IF(E12="-","-",IF(F12="","Em andamento",IF((F12-E12)&lt;=Do!H12,"Concluído no prazo","Concluído com atraso"))),"")</f>
        <v>Concluído no prazo</v>
      </c>
      <c r="H12" s="7" t="s">
        <v>14</v>
      </c>
      <c r="I12" s="8" t="s">
        <v>13</v>
      </c>
      <c r="J12" s="9" t="s">
        <v>81</v>
      </c>
      <c r="K12" s="97">
        <f>IF(K9=0,"",K9/($K$8+$K$9+$K$10))</f>
        <v>0.4</v>
      </c>
      <c r="L12" s="23" t="s">
        <v>13</v>
      </c>
      <c r="M12" s="23" t="s">
        <v>13</v>
      </c>
      <c r="N12" s="23"/>
      <c r="O12" s="23"/>
    </row>
    <row r="13" spans="1:22" s="21" customFormat="1" ht="33.950000000000003" customHeight="1" thickTop="1" thickBot="1" x14ac:dyDescent="0.3">
      <c r="A13" s="63"/>
      <c r="B13" s="71"/>
      <c r="C13" s="92" t="str">
        <f>IFERROR(IF(VLOOKUP(D13,Do!$B$8:$E$96,3,0)=0,"-",VLOOKUP(D13,Do!$B$8:$E$96,3,0)),"-")</f>
        <v>-</v>
      </c>
      <c r="D13" s="92" t="str">
        <f>IF(Do!E13=0,"-",Do!E13)</f>
        <v>-</v>
      </c>
      <c r="E13" s="93" t="str">
        <f>IFERROR(IF(D13=0,"-",VLOOKUP(D13,Do!$B$8:$G$96,6,FALSE)),"-")</f>
        <v>-</v>
      </c>
      <c r="F13" s="258"/>
      <c r="G13" s="262" t="str">
        <f>IFERROR(IF(E13="-","-",IF(F13="","Em andamento",IF((F13-E13)&lt;=Do!H13,"Concluído no prazo","Concluído com atraso"))),"")</f>
        <v>-</v>
      </c>
      <c r="H13" s="259"/>
      <c r="I13" s="260"/>
      <c r="J13" s="261"/>
      <c r="K13" s="97">
        <f>IF(K10=0,"",K10/($K$8+$K$9+$K$10))</f>
        <v>0.2</v>
      </c>
      <c r="L13" s="23" t="s">
        <v>14</v>
      </c>
      <c r="M13" s="23" t="s">
        <v>14</v>
      </c>
      <c r="N13" s="23"/>
      <c r="O13" s="23"/>
    </row>
    <row r="14" spans="1:22" s="21" customFormat="1" ht="33.950000000000003" customHeight="1" thickTop="1" thickBot="1" x14ac:dyDescent="0.3">
      <c r="A14" s="63"/>
      <c r="B14" s="71"/>
      <c r="C14" s="92" t="str">
        <f>IFERROR(IF(VLOOKUP(D14,Do!$B$8:$E$96,3,0)=0,"-",VLOOKUP(D14,Do!$B$8:$E$96,3,0)),"-")</f>
        <v>-</v>
      </c>
      <c r="D14" s="92" t="str">
        <f>IF(Do!E14=0,"-",Do!E14)</f>
        <v>-</v>
      </c>
      <c r="E14" s="93" t="str">
        <f>IFERROR(IF(D14=0,"-",VLOOKUP(D14,Do!$B$8:$G$96,6,FALSE)),"-")</f>
        <v>-</v>
      </c>
      <c r="F14" s="258"/>
      <c r="G14" s="98" t="str">
        <f>IFERROR(IF(E14="-","-",IF(F14="","Em andamento",IF((F14-E14)&lt;=Do!H14,"Concluído no prazo","Concluído com atraso"))),"")</f>
        <v>-</v>
      </c>
      <c r="H14" s="259"/>
      <c r="I14" s="260"/>
      <c r="J14" s="261"/>
      <c r="K14" s="23" t="s">
        <v>25</v>
      </c>
      <c r="L14" s="23"/>
      <c r="M14" s="23"/>
      <c r="N14" s="23"/>
      <c r="O14" s="23"/>
    </row>
    <row r="15" spans="1:22" s="51" customFormat="1" ht="33.950000000000003" customHeight="1" thickTop="1" thickBot="1" x14ac:dyDescent="0.3">
      <c r="A15" s="78"/>
      <c r="B15" s="79"/>
      <c r="C15" s="92" t="str">
        <f>IFERROR(IF(VLOOKUP(D15,Do!$B$8:$E$96,3,0)=0,"-",VLOOKUP(D15,Do!$B$8:$E$96,3,0)),"-")</f>
        <v>-</v>
      </c>
      <c r="D15" s="92" t="str">
        <f>IF(Do!E15=0,"-",Do!E15)</f>
        <v>-</v>
      </c>
      <c r="E15" s="93" t="str">
        <f>IFERROR(IF(D15=0,"-",VLOOKUP(D15,Do!$B$8:$G$96,6,FALSE)),"-")</f>
        <v>-</v>
      </c>
      <c r="F15" s="258"/>
      <c r="G15" s="98" t="str">
        <f>IFERROR(IF(E15="-","-",IF(F15="","Em andamento",IF((F15-E15)&lt;=Do!H15,"Concluído no prazo","Concluído com atraso"))),"")</f>
        <v>-</v>
      </c>
      <c r="H15" s="259"/>
      <c r="I15" s="260"/>
      <c r="J15" s="261"/>
      <c r="K15" s="23" t="s">
        <v>26</v>
      </c>
      <c r="L15" s="54"/>
      <c r="M15" s="54"/>
      <c r="N15" s="54"/>
      <c r="O15" s="54"/>
    </row>
    <row r="16" spans="1:22" s="51" customFormat="1" ht="33.950000000000003" customHeight="1" thickTop="1" thickBot="1" x14ac:dyDescent="0.3">
      <c r="A16" s="78"/>
      <c r="B16" s="79"/>
      <c r="C16" s="92" t="str">
        <f>IFERROR(IF(VLOOKUP(D16,Do!$B$8:$E$96,3,0)=0,"-",VLOOKUP(D16,Do!$B$8:$E$96,3,0)),"-")</f>
        <v>-</v>
      </c>
      <c r="D16" s="92" t="str">
        <f>IF(Do!E16=0,"-",Do!E16)</f>
        <v>-</v>
      </c>
      <c r="E16" s="93" t="str">
        <f>IFERROR(IF(D16=0,"-",VLOOKUP(D16,Do!$B$8:$G$96,6,FALSE)),"-")</f>
        <v>-</v>
      </c>
      <c r="F16" s="258"/>
      <c r="G16" s="98" t="str">
        <f>IFERROR(IF(E16="-","-",IF(F16="","Em andamento",IF((F16-E16)&lt;=Do!H16,"Concluído no prazo","Concluído com atraso"))),"")</f>
        <v>-</v>
      </c>
      <c r="H16" s="259"/>
      <c r="I16" s="260"/>
      <c r="J16" s="261"/>
      <c r="K16" s="23" t="s">
        <v>50</v>
      </c>
      <c r="L16" s="54"/>
      <c r="M16" s="54"/>
      <c r="N16" s="54"/>
      <c r="O16" s="54"/>
    </row>
    <row r="17" spans="1:15" s="21" customFormat="1" ht="33.950000000000003" customHeight="1" thickTop="1" thickBot="1" x14ac:dyDescent="0.3">
      <c r="A17" s="63"/>
      <c r="B17" s="71"/>
      <c r="C17" s="92" t="str">
        <f>IFERROR(IF(VLOOKUP(D17,Do!$B$8:$E$96,3,0)=0,"-",VLOOKUP(D17,Do!$B$8:$E$96,3,0)),"-")</f>
        <v>-</v>
      </c>
      <c r="D17" s="92" t="str">
        <f>IF(Do!E17=0,"-",Do!E17)</f>
        <v>-</v>
      </c>
      <c r="E17" s="93" t="str">
        <f>IFERROR(IF(D17=0,"-",VLOOKUP(D17,Do!$B$8:$G$96,6,FALSE)),"-")</f>
        <v>-</v>
      </c>
      <c r="F17" s="258"/>
      <c r="G17" s="98" t="str">
        <f>IFERROR(IF(E17="-","-",IF(F17="","Em andamento",IF((F17-E17)&lt;=Do!H17,"Concluído no prazo","Concluído com atraso"))),"")</f>
        <v>-</v>
      </c>
      <c r="H17" s="259"/>
      <c r="I17" s="260"/>
      <c r="J17" s="261"/>
      <c r="K17" s="54"/>
      <c r="L17" s="23"/>
      <c r="M17" s="23"/>
      <c r="N17" s="23"/>
      <c r="O17" s="23"/>
    </row>
    <row r="18" spans="1:15" s="21" customFormat="1" ht="33.950000000000003" customHeight="1" thickTop="1" thickBot="1" x14ac:dyDescent="0.3">
      <c r="A18" s="63"/>
      <c r="B18" s="71"/>
      <c r="C18" s="92" t="str">
        <f>IFERROR(IF(VLOOKUP(D18,Do!$B$8:$E$96,3,0)=0,"-",VLOOKUP(D18,Do!$B$8:$E$96,3,0)),"-")</f>
        <v>-</v>
      </c>
      <c r="D18" s="92" t="str">
        <f>IF(Do!E18=0,"-",Do!E18)</f>
        <v>-</v>
      </c>
      <c r="E18" s="93" t="str">
        <f>IFERROR(IF(D18=0,"-",VLOOKUP(D18,Do!$B$8:$G$96,6,FALSE)),"-")</f>
        <v>-</v>
      </c>
      <c r="F18" s="258"/>
      <c r="G18" s="98" t="str">
        <f>IFERROR(IF(E18="-","-",IF(F18="","Em andamento",IF((F18-E18)&lt;=Do!H18,"Concluído no prazo","Concluído com atraso"))),"")</f>
        <v>-</v>
      </c>
      <c r="H18" s="259"/>
      <c r="I18" s="260"/>
      <c r="J18" s="261"/>
      <c r="K18" s="54"/>
      <c r="L18" s="23"/>
      <c r="M18" s="23"/>
      <c r="N18" s="23"/>
      <c r="O18" s="23"/>
    </row>
    <row r="19" spans="1:15" s="21" customFormat="1" ht="33.950000000000003" customHeight="1" thickTop="1" thickBot="1" x14ac:dyDescent="0.3">
      <c r="A19" s="63"/>
      <c r="B19" s="71"/>
      <c r="C19" s="92" t="str">
        <f>IFERROR(IF(VLOOKUP(D19,Do!$B$8:$E$96,3,0)=0,"-",VLOOKUP(D19,Do!$B$8:$E$96,3,0)),"-")</f>
        <v>-</v>
      </c>
      <c r="D19" s="92" t="str">
        <f>IF(Do!E19=0,"-",Do!E19)</f>
        <v>-</v>
      </c>
      <c r="E19" s="93" t="str">
        <f>IFERROR(IF(D19=0,"-",VLOOKUP(D19,Do!$B$8:$G$96,6,FALSE)),"-")</f>
        <v>-</v>
      </c>
      <c r="F19" s="258"/>
      <c r="G19" s="98" t="str">
        <f>IFERROR(IF(E19="-","-",IF(F19="","Em andamento",IF((F19-E19)&lt;=Do!H19,"Concluído no prazo","Concluído com atraso"))),"")</f>
        <v>-</v>
      </c>
      <c r="H19" s="259"/>
      <c r="I19" s="260"/>
      <c r="J19" s="261"/>
      <c r="K19" s="23"/>
      <c r="L19" s="23"/>
      <c r="M19" s="23"/>
      <c r="N19" s="23"/>
      <c r="O19" s="23"/>
    </row>
    <row r="20" spans="1:15" s="21" customFormat="1" ht="33.950000000000003" customHeight="1" thickTop="1" thickBot="1" x14ac:dyDescent="0.3">
      <c r="A20" s="63"/>
      <c r="B20" s="71"/>
      <c r="C20" s="92" t="str">
        <f>IFERROR(IF(VLOOKUP(D20,Do!$B$8:$E$96,3,0)=0,"-",VLOOKUP(D20,Do!$B$8:$E$96,3,0)),"-")</f>
        <v>-</v>
      </c>
      <c r="D20" s="92" t="str">
        <f>IF(Do!E20=0,"-",Do!E20)</f>
        <v>-</v>
      </c>
      <c r="E20" s="93" t="str">
        <f>IFERROR(IF(D20=0,"-",VLOOKUP(D20,Do!$B$8:$G$96,6,FALSE)),"-")</f>
        <v>-</v>
      </c>
      <c r="F20" s="258"/>
      <c r="G20" s="98" t="str">
        <f>IFERROR(IF(E20="-","-",IF(F20="","Em andamento",IF((F20-E20)&lt;=Do!H20,"Concluído no prazo","Concluído com atraso"))),"")</f>
        <v>-</v>
      </c>
      <c r="H20" s="259"/>
      <c r="I20" s="260"/>
      <c r="J20" s="261"/>
      <c r="K20" s="23"/>
      <c r="L20" s="23"/>
      <c r="M20" s="23"/>
      <c r="N20" s="23"/>
      <c r="O20" s="23"/>
    </row>
    <row r="21" spans="1:15" s="21" customFormat="1" ht="33.950000000000003" customHeight="1" thickTop="1" thickBot="1" x14ac:dyDescent="0.3">
      <c r="A21" s="63"/>
      <c r="B21" s="71"/>
      <c r="C21" s="92" t="str">
        <f>IFERROR(IF(VLOOKUP(D21,Do!$B$8:$E$96,3,0)=0,"-",VLOOKUP(D21,Do!$B$8:$E$96,3,0)),"-")</f>
        <v>-</v>
      </c>
      <c r="D21" s="92" t="str">
        <f>IF(Do!E21=0,"-",Do!E21)</f>
        <v>-</v>
      </c>
      <c r="E21" s="93" t="str">
        <f>IFERROR(IF(D21=0,"-",VLOOKUP(D21,Do!$B$8:$G$96,6,FALSE)),"-")</f>
        <v>-</v>
      </c>
      <c r="F21" s="258"/>
      <c r="G21" s="98" t="str">
        <f>IFERROR(IF(E21="-","-",IF(F21="","Em andamento",IF((F21-E21)&lt;=Do!H21,"Concluído no prazo","Concluído com atraso"))),"")</f>
        <v>-</v>
      </c>
      <c r="H21" s="259"/>
      <c r="I21" s="260"/>
      <c r="J21" s="261"/>
      <c r="K21" s="23"/>
      <c r="L21" s="23"/>
      <c r="M21" s="23"/>
      <c r="N21" s="23"/>
      <c r="O21" s="23"/>
    </row>
    <row r="22" spans="1:15" s="21" customFormat="1" ht="33.950000000000003" customHeight="1" thickTop="1" thickBot="1" x14ac:dyDescent="0.3">
      <c r="A22" s="63"/>
      <c r="B22" s="71"/>
      <c r="C22" s="92" t="str">
        <f>IFERROR(IF(VLOOKUP(D22,Do!$B$8:$E$96,3,0)=0,"-",VLOOKUP(D22,Do!$B$8:$E$96,3,0)),"-")</f>
        <v>-</v>
      </c>
      <c r="D22" s="92" t="str">
        <f>IF(Do!E22=0,"-",Do!E22)</f>
        <v>-</v>
      </c>
      <c r="E22" s="93" t="str">
        <f>IFERROR(IF(D22=0,"-",VLOOKUP(D22,Do!$B$8:$G$96,6,FALSE)),"-")</f>
        <v>-</v>
      </c>
      <c r="F22" s="258"/>
      <c r="G22" s="98" t="str">
        <f>IFERROR(IF(E22="-","-",IF(F22="","Em andamento",IF((F22-E22)&lt;=Do!H22,"Concluído no prazo","Concluído com atraso"))),"")</f>
        <v>-</v>
      </c>
      <c r="H22" s="259"/>
      <c r="I22" s="260"/>
      <c r="J22" s="261"/>
      <c r="K22" s="23"/>
      <c r="L22" s="23"/>
      <c r="M22" s="23"/>
      <c r="N22" s="23"/>
      <c r="O22" s="23"/>
    </row>
    <row r="23" spans="1:15" s="21" customFormat="1" ht="33.950000000000003" customHeight="1" thickTop="1" thickBot="1" x14ac:dyDescent="0.3">
      <c r="A23" s="63"/>
      <c r="B23" s="71"/>
      <c r="C23" s="92" t="str">
        <f>IFERROR(IF(VLOOKUP(D23,Do!$B$8:$E$96,3,0)=0,"-",VLOOKUP(D23,Do!$B$8:$E$96,3,0)),"-")</f>
        <v>-</v>
      </c>
      <c r="D23" s="92" t="str">
        <f>IF(Do!E23=0,"-",Do!E23)</f>
        <v>-</v>
      </c>
      <c r="E23" s="93" t="str">
        <f>IFERROR(IF(D23=0,"-",VLOOKUP(D23,Do!$B$8:$G$96,6,FALSE)),"-")</f>
        <v>-</v>
      </c>
      <c r="F23" s="258"/>
      <c r="G23" s="98" t="str">
        <f>IFERROR(IF(E23="-","-",IF(F23="","Em andamento",IF((F23-E23)&lt;=Do!H23,"Concluído no prazo","Concluído com atraso"))),"")</f>
        <v>-</v>
      </c>
      <c r="H23" s="259"/>
      <c r="I23" s="260"/>
      <c r="J23" s="261"/>
      <c r="K23" s="23"/>
      <c r="L23" s="23"/>
      <c r="M23" s="23"/>
      <c r="N23" s="23"/>
      <c r="O23" s="23"/>
    </row>
    <row r="24" spans="1:15" s="51" customFormat="1" ht="33.950000000000003" customHeight="1" thickTop="1" thickBot="1" x14ac:dyDescent="0.3">
      <c r="A24" s="78"/>
      <c r="B24" s="79"/>
      <c r="C24" s="92" t="str">
        <f>IFERROR(IF(VLOOKUP(D24,Do!$B$8:$E$96,3,0)=0,"-",VLOOKUP(D24,Do!$B$8:$E$96,3,0)),"-")</f>
        <v>-</v>
      </c>
      <c r="D24" s="92" t="str">
        <f>IF(Do!E24=0,"-",Do!E24)</f>
        <v>-</v>
      </c>
      <c r="E24" s="93" t="str">
        <f>IFERROR(IF(D24=0,"-",VLOOKUP(D24,Do!$B$8:$G$96,6,FALSE)),"-")</f>
        <v>-</v>
      </c>
      <c r="F24" s="258"/>
      <c r="G24" s="98" t="str">
        <f>IFERROR(IF(E24="-","-",IF(F24="","Em andamento",IF((F24-E24)&lt;=Do!H24,"Concluído no prazo","Concluído com atraso"))),"")</f>
        <v>-</v>
      </c>
      <c r="H24" s="259"/>
      <c r="I24" s="260"/>
      <c r="J24" s="261"/>
      <c r="K24" s="23"/>
      <c r="L24" s="54"/>
      <c r="M24" s="54"/>
      <c r="N24" s="54"/>
      <c r="O24" s="54"/>
    </row>
    <row r="25" spans="1:15" s="51" customFormat="1" ht="33.950000000000003" customHeight="1" thickTop="1" thickBot="1" x14ac:dyDescent="0.3">
      <c r="A25" s="78"/>
      <c r="B25" s="79"/>
      <c r="C25" s="92" t="str">
        <f>IFERROR(IF(VLOOKUP(D25,Do!$B$8:$E$96,3,0)=0,"-",VLOOKUP(D25,Do!$B$8:$E$96,3,0)),"-")</f>
        <v>-</v>
      </c>
      <c r="D25" s="92" t="str">
        <f>IF(Do!E25=0,"-",Do!E25)</f>
        <v>-</v>
      </c>
      <c r="E25" s="93" t="str">
        <f>IFERROR(IF(D25=0,"-",VLOOKUP(D25,Do!$B$8:$G$96,6,FALSE)),"-")</f>
        <v>-</v>
      </c>
      <c r="F25" s="258"/>
      <c r="G25" s="98" t="str">
        <f>IFERROR(IF(E25="-","-",IF(F25="","Em andamento",IF((F25-E25)&lt;=Do!H25,"Concluído no prazo","Concluído com atraso"))),"")</f>
        <v>-</v>
      </c>
      <c r="H25" s="259"/>
      <c r="I25" s="260"/>
      <c r="J25" s="261"/>
      <c r="K25" s="23"/>
      <c r="L25" s="54"/>
      <c r="M25" s="54"/>
      <c r="N25" s="54"/>
      <c r="O25" s="54"/>
    </row>
    <row r="26" spans="1:15" s="21" customFormat="1" ht="33.950000000000003" customHeight="1" thickTop="1" thickBot="1" x14ac:dyDescent="0.3">
      <c r="A26" s="63"/>
      <c r="B26" s="71"/>
      <c r="C26" s="92" t="str">
        <f>IFERROR(IF(VLOOKUP(D26,Do!$B$8:$E$96,3,0)=0,"-",VLOOKUP(D26,Do!$B$8:$E$96,3,0)),"-")</f>
        <v>-</v>
      </c>
      <c r="D26" s="92" t="str">
        <f>IF(Do!E26=0,"-",Do!E26)</f>
        <v>-</v>
      </c>
      <c r="E26" s="93" t="str">
        <f>IFERROR(IF(D26=0,"-",VLOOKUP(D26,Do!$B$8:$G$96,6,FALSE)),"-")</f>
        <v>-</v>
      </c>
      <c r="F26" s="258"/>
      <c r="G26" s="98" t="str">
        <f>IFERROR(IF(E26="-","-",IF(F26="","Em andamento",IF((F26-E26)&lt;=Do!H26,"Concluído no prazo","Concluído com atraso"))),"")</f>
        <v>-</v>
      </c>
      <c r="H26" s="259"/>
      <c r="I26" s="260"/>
      <c r="J26" s="261"/>
      <c r="K26" s="54"/>
      <c r="L26" s="23"/>
      <c r="M26" s="23"/>
      <c r="N26" s="23"/>
      <c r="O26" s="23"/>
    </row>
    <row r="27" spans="1:15" s="21" customFormat="1" ht="33.950000000000003" customHeight="1" thickTop="1" thickBot="1" x14ac:dyDescent="0.3">
      <c r="A27" s="63"/>
      <c r="B27" s="71"/>
      <c r="C27" s="92" t="str">
        <f>IFERROR(IF(VLOOKUP(D27,Do!$B$8:$E$96,3,0)=0,"-",VLOOKUP(D27,Do!$B$8:$E$96,3,0)),"-")</f>
        <v>-</v>
      </c>
      <c r="D27" s="92" t="str">
        <f>IF(Do!E27=0,"-",Do!E27)</f>
        <v>-</v>
      </c>
      <c r="E27" s="93" t="str">
        <f>IFERROR(IF(D27=0,"-",VLOOKUP(D27,Do!$B$8:$G$96,6,FALSE)),"-")</f>
        <v>-</v>
      </c>
      <c r="F27" s="258"/>
      <c r="G27" s="98" t="str">
        <f>IFERROR(IF(E27="-","-",IF(F27="","Em andamento",IF((F27-E27)&lt;=Do!H27,"Concluído no prazo","Concluído com atraso"))),"")</f>
        <v>-</v>
      </c>
      <c r="H27" s="259"/>
      <c r="I27" s="260"/>
      <c r="J27" s="261"/>
      <c r="K27" s="54"/>
      <c r="L27" s="23"/>
      <c r="M27" s="23"/>
      <c r="N27" s="23"/>
      <c r="O27" s="23"/>
    </row>
    <row r="28" spans="1:15" s="21" customFormat="1" ht="33.950000000000003" customHeight="1" thickTop="1" thickBot="1" x14ac:dyDescent="0.3">
      <c r="A28" s="63"/>
      <c r="B28" s="71"/>
      <c r="C28" s="92" t="str">
        <f>IFERROR(IF(VLOOKUP(D28,Do!$B$8:$E$96,3,0)=0,"-",VLOOKUP(D28,Do!$B$8:$E$96,3,0)),"-")</f>
        <v>-</v>
      </c>
      <c r="D28" s="92" t="str">
        <f>IF(Do!E28=0,"-",Do!E28)</f>
        <v>-</v>
      </c>
      <c r="E28" s="93" t="str">
        <f>IFERROR(IF(D28=0,"-",VLOOKUP(D28,Do!$B$8:$G$96,6,FALSE)),"-")</f>
        <v>-</v>
      </c>
      <c r="F28" s="258"/>
      <c r="G28" s="98" t="str">
        <f>IFERROR(IF(E28="-","-",IF(F28="","Em andamento",IF((F28-E28)&lt;=Do!H28,"Concluído no prazo","Concluído com atraso"))),"")</f>
        <v>-</v>
      </c>
      <c r="H28" s="259"/>
      <c r="I28" s="260"/>
      <c r="J28" s="261"/>
      <c r="K28" s="23"/>
      <c r="L28" s="23"/>
      <c r="M28" s="23"/>
      <c r="N28" s="23"/>
      <c r="O28" s="23"/>
    </row>
    <row r="29" spans="1:15" s="21" customFormat="1" ht="33.950000000000003" customHeight="1" thickTop="1" thickBot="1" x14ac:dyDescent="0.3">
      <c r="A29" s="63"/>
      <c r="B29" s="71"/>
      <c r="C29" s="92" t="str">
        <f>IFERROR(IF(VLOOKUP(D29,Do!$B$8:$E$96,3,0)=0,"-",VLOOKUP(D29,Do!$B$8:$E$96,3,0)),"-")</f>
        <v>-</v>
      </c>
      <c r="D29" s="92" t="str">
        <f>IF(Do!E29=0,"-",Do!E29)</f>
        <v>-</v>
      </c>
      <c r="E29" s="93" t="str">
        <f>IFERROR(IF(D29=0,"-",VLOOKUP(D29,Do!$B$8:$G$96,6,FALSE)),"-")</f>
        <v>-</v>
      </c>
      <c r="F29" s="258"/>
      <c r="G29" s="98" t="str">
        <f>IFERROR(IF(E29="-","-",IF(F29="","Em andamento",IF((F29-E29)&lt;=Do!H29,"Concluído no prazo","Concluído com atraso"))),"")</f>
        <v>-</v>
      </c>
      <c r="H29" s="259"/>
      <c r="I29" s="260"/>
      <c r="J29" s="261"/>
      <c r="K29" s="23"/>
      <c r="L29" s="23"/>
      <c r="M29" s="23"/>
      <c r="N29" s="23"/>
      <c r="O29" s="23"/>
    </row>
    <row r="30" spans="1:15" s="21" customFormat="1" ht="33.950000000000003" customHeight="1" thickTop="1" thickBot="1" x14ac:dyDescent="0.3">
      <c r="A30" s="63"/>
      <c r="B30" s="71"/>
      <c r="C30" s="92" t="str">
        <f>IFERROR(IF(VLOOKUP(D30,Do!$B$8:$E$96,3,0)=0,"-",VLOOKUP(D30,Do!$B$8:$E$96,3,0)),"-")</f>
        <v>-</v>
      </c>
      <c r="D30" s="92" t="str">
        <f>IF(Do!E30=0,"-",Do!E30)</f>
        <v>-</v>
      </c>
      <c r="E30" s="93" t="str">
        <f>IFERROR(IF(D30=0,"-",VLOOKUP(D30,Do!$B$8:$G$96,6,FALSE)),"-")</f>
        <v>-</v>
      </c>
      <c r="F30" s="258"/>
      <c r="G30" s="98" t="str">
        <f>IFERROR(IF(E30="-","-",IF(F30="","Em andamento",IF((F30-E30)&lt;=Do!H30,"Concluído no prazo","Concluído com atraso"))),"")</f>
        <v>-</v>
      </c>
      <c r="H30" s="259"/>
      <c r="I30" s="260"/>
      <c r="J30" s="261"/>
      <c r="K30" s="23"/>
      <c r="L30" s="23"/>
      <c r="M30" s="23"/>
      <c r="N30" s="23"/>
      <c r="O30" s="23"/>
    </row>
    <row r="31" spans="1:15" s="21" customFormat="1" ht="33.950000000000003" customHeight="1" thickTop="1" thickBot="1" x14ac:dyDescent="0.3">
      <c r="A31" s="63"/>
      <c r="B31" s="71"/>
      <c r="C31" s="92" t="str">
        <f>IFERROR(IF(VLOOKUP(D31,Do!$B$8:$E$96,3,0)=0,"-",VLOOKUP(D31,Do!$B$8:$E$96,3,0)),"-")</f>
        <v>-</v>
      </c>
      <c r="D31" s="92" t="str">
        <f>IF(Do!E31=0,"-",Do!E31)</f>
        <v>-</v>
      </c>
      <c r="E31" s="93" t="str">
        <f>IFERROR(IF(D31=0,"-",VLOOKUP(D31,Do!$B$8:$G$96,6,FALSE)),"-")</f>
        <v>-</v>
      </c>
      <c r="F31" s="258"/>
      <c r="G31" s="98" t="str">
        <f>IFERROR(IF(E31="-","-",IF(F31="","Em andamento",IF((F31-E31)&lt;=Do!H31,"Concluído no prazo","Concluído com atraso"))),"")</f>
        <v>-</v>
      </c>
      <c r="H31" s="259"/>
      <c r="I31" s="260"/>
      <c r="J31" s="261"/>
      <c r="K31" s="23"/>
      <c r="L31" s="23"/>
      <c r="M31" s="23"/>
      <c r="N31" s="23"/>
      <c r="O31" s="23"/>
    </row>
    <row r="32" spans="1:15" s="21" customFormat="1" ht="33.950000000000003" customHeight="1" thickTop="1" thickBot="1" x14ac:dyDescent="0.3">
      <c r="A32" s="63"/>
      <c r="B32" s="71"/>
      <c r="C32" s="92" t="str">
        <f>IFERROR(IF(VLOOKUP(D32,Do!$B$8:$E$96,3,0)=0,"-",VLOOKUP(D32,Do!$B$8:$E$96,3,0)),"-")</f>
        <v>-</v>
      </c>
      <c r="D32" s="92" t="str">
        <f>IF(Do!E32=0,"-",Do!E32)</f>
        <v>-</v>
      </c>
      <c r="E32" s="93" t="str">
        <f>IFERROR(IF(D32=0,"-",VLOOKUP(D32,Do!$B$8:$G$96,6,FALSE)),"-")</f>
        <v>-</v>
      </c>
      <c r="F32" s="258"/>
      <c r="G32" s="98" t="str">
        <f>IFERROR(IF(E32="-","-",IF(F32="","Em andamento",IF((F32-E32)&lt;=Do!H32,"Concluído no prazo","Concluído com atraso"))),"")</f>
        <v>-</v>
      </c>
      <c r="H32" s="259"/>
      <c r="I32" s="260"/>
      <c r="J32" s="261"/>
      <c r="K32" s="23"/>
      <c r="L32" s="23"/>
      <c r="M32" s="23"/>
      <c r="N32" s="23"/>
      <c r="O32" s="23"/>
    </row>
    <row r="33" spans="1:22" s="21" customFormat="1" ht="33.950000000000003" customHeight="1" thickTop="1" thickBot="1" x14ac:dyDescent="0.3">
      <c r="A33" s="63"/>
      <c r="B33" s="71"/>
      <c r="C33" s="92" t="str">
        <f>IFERROR(IF(VLOOKUP(D33,Do!$B$8:$E$96,3,0)=0,"-",VLOOKUP(D33,Do!$B$8:$E$96,3,0)),"-")</f>
        <v>-</v>
      </c>
      <c r="D33" s="92" t="str">
        <f>IF(Do!E33=0,"-",Do!E33)</f>
        <v>-</v>
      </c>
      <c r="E33" s="93" t="str">
        <f>IFERROR(IF(D33=0,"-",VLOOKUP(D33,Do!$B$8:$G$96,6,FALSE)),"-")</f>
        <v>-</v>
      </c>
      <c r="F33" s="258"/>
      <c r="G33" s="98" t="str">
        <f>IFERROR(IF(E33="-","-",IF(F33="","Em andamento",IF((F33-E33)&lt;=Do!H33,"Concluído no prazo","Concluído com atraso"))),"")</f>
        <v>-</v>
      </c>
      <c r="H33" s="259"/>
      <c r="I33" s="260"/>
      <c r="J33" s="261"/>
      <c r="K33" s="23"/>
      <c r="L33" s="23"/>
      <c r="M33" s="23"/>
      <c r="N33" s="23"/>
      <c r="O33" s="23"/>
    </row>
    <row r="34" spans="1:22" s="21" customFormat="1" ht="33.950000000000003" customHeight="1" thickTop="1" thickBot="1" x14ac:dyDescent="0.3">
      <c r="A34" s="63"/>
      <c r="B34" s="71"/>
      <c r="C34" s="92" t="str">
        <f>IFERROR(IF(VLOOKUP(D34,Do!$B$8:$E$96,3,0)=0,"-",VLOOKUP(D34,Do!$B$8:$E$96,3,0)),"-")</f>
        <v>-</v>
      </c>
      <c r="D34" s="92" t="str">
        <f>IF(Do!E34=0,"-",Do!E34)</f>
        <v>-</v>
      </c>
      <c r="E34" s="93" t="str">
        <f>IFERROR(IF(D34=0,"-",VLOOKUP(D34,Do!$B$8:$G$96,6,FALSE)),"-")</f>
        <v>-</v>
      </c>
      <c r="F34" s="258"/>
      <c r="G34" s="98" t="str">
        <f>IFERROR(IF(E34="-","-",IF(F34="","Em andamento",IF((F34-E34)&lt;=Do!H34,"Concluído no prazo","Concluído com atraso"))),"")</f>
        <v>-</v>
      </c>
      <c r="H34" s="259"/>
      <c r="I34" s="260"/>
      <c r="J34" s="261"/>
      <c r="K34" s="23"/>
      <c r="L34" s="23"/>
      <c r="M34" s="23"/>
      <c r="N34" s="23"/>
      <c r="O34" s="23"/>
    </row>
    <row r="35" spans="1:22" s="21" customFormat="1" ht="33.950000000000003" customHeight="1" thickTop="1" thickBot="1" x14ac:dyDescent="0.3">
      <c r="A35" s="63"/>
      <c r="B35" s="71"/>
      <c r="C35" s="92" t="str">
        <f>IFERROR(IF(VLOOKUP(D35,Do!$B$8:$E$96,3,0)=0,"-",VLOOKUP(D35,Do!$B$8:$E$96,3,0)),"-")</f>
        <v>-</v>
      </c>
      <c r="D35" s="92" t="str">
        <f>IF(Do!E35=0,"-",Do!E35)</f>
        <v>-</v>
      </c>
      <c r="E35" s="93" t="str">
        <f>IFERROR(IF(D35=0,"-",VLOOKUP(D35,Do!$B$8:$G$96,6,FALSE)),"-")</f>
        <v>-</v>
      </c>
      <c r="F35" s="258"/>
      <c r="G35" s="98" t="str">
        <f>IFERROR(IF(E35="-","-",IF(F35="","Em andamento",IF((F35-E35)&lt;=Do!H35,"Concluído no prazo","Concluído com atraso"))),"")</f>
        <v>-</v>
      </c>
      <c r="H35" s="259"/>
      <c r="I35" s="260"/>
      <c r="J35" s="261"/>
      <c r="K35" s="23"/>
      <c r="L35" s="23"/>
      <c r="M35" s="23"/>
      <c r="N35" s="23"/>
      <c r="O35" s="23"/>
    </row>
    <row r="36" spans="1:22" s="21" customFormat="1" ht="33.950000000000003" customHeight="1" thickTop="1" thickBot="1" x14ac:dyDescent="0.3">
      <c r="A36" s="63"/>
      <c r="B36" s="71"/>
      <c r="C36" s="92" t="str">
        <f>IFERROR(IF(VLOOKUP(D36,Do!$B$8:$E$96,3,0)=0,"-",VLOOKUP(D36,Do!$B$8:$E$96,3,0)),"-")</f>
        <v>-</v>
      </c>
      <c r="D36" s="92" t="str">
        <f>IF(Do!E36=0,"-",Do!E36)</f>
        <v>-</v>
      </c>
      <c r="E36" s="93" t="str">
        <f>IFERROR(IF(D36=0,"-",VLOOKUP(D36,Do!$B$8:$G$96,6,FALSE)),"-")</f>
        <v>-</v>
      </c>
      <c r="F36" s="258"/>
      <c r="G36" s="98" t="str">
        <f>IFERROR(IF(E36="-","-",IF(F36="","Em andamento",IF((F36-E36)&lt;=Do!H36,"Concluído no prazo","Concluído com atraso"))),"")</f>
        <v>-</v>
      </c>
      <c r="H36" s="259"/>
      <c r="I36" s="260"/>
      <c r="J36" s="261"/>
      <c r="K36" s="23"/>
      <c r="L36" s="23"/>
      <c r="M36" s="23"/>
      <c r="N36" s="23"/>
      <c r="O36" s="23"/>
    </row>
    <row r="37" spans="1:22" s="21" customFormat="1" ht="33.950000000000003" customHeight="1" thickTop="1" thickBot="1" x14ac:dyDescent="0.3">
      <c r="A37" s="63"/>
      <c r="B37" s="71"/>
      <c r="C37" s="92" t="str">
        <f>IFERROR(IF(VLOOKUP(D37,Do!$B$8:$E$96,3,0)=0,"-",VLOOKUP(D37,Do!$B$8:$E$96,3,0)),"-")</f>
        <v>-</v>
      </c>
      <c r="D37" s="92" t="str">
        <f>IF(Do!E37=0,"-",Do!E37)</f>
        <v>-</v>
      </c>
      <c r="E37" s="93" t="str">
        <f>IFERROR(IF(D37=0,"-",VLOOKUP(D37,Do!$B$8:$G$96,6,FALSE)),"-")</f>
        <v>-</v>
      </c>
      <c r="F37" s="258"/>
      <c r="G37" s="98" t="str">
        <f>IFERROR(IF(E37="-","-",IF(F37="","Em andamento",IF((F37-E37)&lt;=Do!H37,"Concluído no prazo","Concluído com atraso"))),"")</f>
        <v>-</v>
      </c>
      <c r="H37" s="259"/>
      <c r="I37" s="260"/>
      <c r="J37" s="261"/>
      <c r="K37" s="23"/>
      <c r="L37" s="23"/>
      <c r="M37" s="23"/>
      <c r="N37" s="23"/>
      <c r="O37" s="23"/>
    </row>
    <row r="38" spans="1:22" s="21" customFormat="1" ht="33.950000000000003" customHeight="1" thickTop="1" thickBot="1" x14ac:dyDescent="0.3">
      <c r="A38" s="63"/>
      <c r="B38" s="71"/>
      <c r="C38" s="92" t="str">
        <f>IFERROR(IF(VLOOKUP(D38,Do!$B$8:$E$96,3,0)=0,"-",VLOOKUP(D38,Do!$B$8:$E$96,3,0)),"-")</f>
        <v>-</v>
      </c>
      <c r="D38" s="92" t="str">
        <f>IF(Do!E38=0,"-",Do!E38)</f>
        <v>-</v>
      </c>
      <c r="E38" s="93" t="str">
        <f>IFERROR(IF(D38=0,"-",VLOOKUP(D38,Do!$B$8:$G$96,6,FALSE)),"-")</f>
        <v>-</v>
      </c>
      <c r="F38" s="258"/>
      <c r="G38" s="98" t="str">
        <f>IFERROR(IF(E38="-","-",IF(F38="","Em andamento",IF((F38-E38)&lt;=Do!H38,"Concluído no prazo","Concluído com atraso"))),"")</f>
        <v>-</v>
      </c>
      <c r="H38" s="259"/>
      <c r="I38" s="260"/>
      <c r="J38" s="261"/>
      <c r="K38" s="23"/>
      <c r="L38" s="23"/>
      <c r="M38" s="23"/>
      <c r="N38" s="23"/>
      <c r="O38" s="23"/>
    </row>
    <row r="39" spans="1:22" s="21" customFormat="1" ht="33.950000000000003" customHeight="1" thickTop="1" thickBot="1" x14ac:dyDescent="0.3">
      <c r="A39" s="63"/>
      <c r="B39" s="71"/>
      <c r="C39" s="92" t="str">
        <f>IFERROR(IF(VLOOKUP(D39,Do!$B$8:$E$96,3,0)=0,"-",VLOOKUP(D39,Do!$B$8:$E$96,3,0)),"-")</f>
        <v>-</v>
      </c>
      <c r="D39" s="92" t="str">
        <f>IF(Do!E39=0,"-",Do!E39)</f>
        <v>-</v>
      </c>
      <c r="E39" s="93" t="str">
        <f>IFERROR(IF(D39=0,"-",VLOOKUP(D39,Do!$B$8:$G$96,6,FALSE)),"-")</f>
        <v>-</v>
      </c>
      <c r="F39" s="258"/>
      <c r="G39" s="98" t="str">
        <f>IFERROR(IF(E39="-","-",IF(F39="","Em andamento",IF((F39-E39)&lt;=Do!H39,"Concluído no prazo","Concluído com atraso"))),"")</f>
        <v>-</v>
      </c>
      <c r="H39" s="259"/>
      <c r="I39" s="260"/>
      <c r="J39" s="261"/>
      <c r="K39" s="23"/>
      <c r="L39" s="23"/>
      <c r="M39" s="23"/>
      <c r="N39" s="23"/>
      <c r="O39" s="23"/>
    </row>
    <row r="40" spans="1:22" s="21" customFormat="1" ht="33.950000000000003" customHeight="1" thickTop="1" thickBot="1" x14ac:dyDescent="0.3">
      <c r="A40" s="63"/>
      <c r="B40" s="71"/>
      <c r="C40" s="92" t="str">
        <f>IFERROR(IF(VLOOKUP(D40,Do!$B$8:$E$96,3,0)=0,"-",VLOOKUP(D40,Do!$B$8:$E$96,3,0)),"-")</f>
        <v>-</v>
      </c>
      <c r="D40" s="92" t="str">
        <f>IF(Do!E40=0,"-",Do!E40)</f>
        <v>-</v>
      </c>
      <c r="E40" s="93" t="str">
        <f>IFERROR(IF(D40=0,"-",VLOOKUP(D40,Do!$B$8:$G$96,6,FALSE)),"-")</f>
        <v>-</v>
      </c>
      <c r="F40" s="258"/>
      <c r="G40" s="98" t="str">
        <f>IFERROR(IF(E40="-","-",IF(F40="","Em andamento",IF((F40-E40)&lt;=Do!H40,"Concluído no prazo","Concluído com atraso"))),"")</f>
        <v>-</v>
      </c>
      <c r="H40" s="259"/>
      <c r="I40" s="260"/>
      <c r="J40" s="261"/>
      <c r="K40" s="23"/>
      <c r="L40" s="23"/>
      <c r="M40" s="23"/>
      <c r="N40" s="23"/>
      <c r="O40" s="23"/>
    </row>
    <row r="41" spans="1:22" s="21" customFormat="1" ht="33.950000000000003" customHeight="1" thickTop="1" thickBot="1" x14ac:dyDescent="0.3">
      <c r="A41" s="63"/>
      <c r="B41" s="71"/>
      <c r="C41" s="92" t="str">
        <f>IFERROR(IF(VLOOKUP(D41,Do!$B$8:$E$96,3,0)=0,"-",VLOOKUP(D41,Do!$B$8:$E$96,3,0)),"-")</f>
        <v>-</v>
      </c>
      <c r="D41" s="92" t="str">
        <f>IF(Do!E41=0,"-",Do!E41)</f>
        <v>-</v>
      </c>
      <c r="E41" s="93" t="str">
        <f>IFERROR(IF(D41=0,"-",VLOOKUP(D41,Do!$B$8:$G$96,6,FALSE)),"-")</f>
        <v>-</v>
      </c>
      <c r="F41" s="258"/>
      <c r="G41" s="98" t="str">
        <f>IFERROR(IF(E41="-","-",IF(F41="","Em andamento",IF((F41-E41)&lt;=Do!H41,"Concluído no prazo","Concluído com atraso"))),"")</f>
        <v>-</v>
      </c>
      <c r="H41" s="259"/>
      <c r="I41" s="260"/>
      <c r="J41" s="261"/>
      <c r="K41" s="23"/>
      <c r="L41" s="23"/>
      <c r="M41" s="23"/>
      <c r="N41" s="23"/>
      <c r="O41" s="23"/>
    </row>
    <row r="42" spans="1:22" s="21" customFormat="1" ht="33.950000000000003" customHeight="1" thickTop="1" thickBot="1" x14ac:dyDescent="0.3">
      <c r="A42" s="63"/>
      <c r="B42" s="71"/>
      <c r="C42" s="92" t="str">
        <f>IFERROR(IF(VLOOKUP(D42,Do!$B$8:$E$96,3,0)=0,"-",VLOOKUP(D42,Do!$B$8:$E$96,3,0)),"-")</f>
        <v>-</v>
      </c>
      <c r="D42" s="92" t="str">
        <f>IF(Do!E42=0,"-",Do!E42)</f>
        <v>-</v>
      </c>
      <c r="E42" s="93" t="str">
        <f>IFERROR(IF(D42=0,"-",VLOOKUP(D42,Do!$B$8:$G$96,6,FALSE)),"-")</f>
        <v>-</v>
      </c>
      <c r="F42" s="258"/>
      <c r="G42" s="98" t="str">
        <f>IFERROR(IF(E42="-","-",IF(F42="","Em andamento",IF((F42-E42)&lt;=Do!H42,"Concluído no prazo","Concluído com atraso"))),"")</f>
        <v>-</v>
      </c>
      <c r="H42" s="259"/>
      <c r="I42" s="260"/>
      <c r="J42" s="261"/>
      <c r="K42" s="23"/>
      <c r="L42" s="23"/>
      <c r="M42" s="23"/>
      <c r="N42" s="23"/>
      <c r="O42" s="23"/>
    </row>
    <row r="43" spans="1:22" s="21" customFormat="1" ht="33.950000000000003" customHeight="1" thickTop="1" thickBot="1" x14ac:dyDescent="0.3">
      <c r="A43" s="63"/>
      <c r="B43" s="71"/>
      <c r="C43" s="92" t="str">
        <f>IFERROR(IF(VLOOKUP(D43,Do!$B$8:$E$96,3,0)=0,"-",VLOOKUP(D43,Do!$B$8:$E$96,3,0)),"-")</f>
        <v>-</v>
      </c>
      <c r="D43" s="92" t="str">
        <f>IF(Do!E43=0,"-",Do!E43)</f>
        <v>-</v>
      </c>
      <c r="E43" s="93" t="str">
        <f>IFERROR(IF(D43=0,"-",VLOOKUP(D43,Do!$B$8:$G$96,6,FALSE)),"-")</f>
        <v>-</v>
      </c>
      <c r="F43" s="258"/>
      <c r="G43" s="98" t="str">
        <f>IFERROR(IF(E43="-","-",IF(F43="","Em andamento",IF((F43-E43)&lt;=Do!H43,"Concluído no prazo","Concluído com atraso"))),"")</f>
        <v>-</v>
      </c>
      <c r="H43" s="259"/>
      <c r="I43" s="260"/>
      <c r="J43" s="261"/>
      <c r="K43" s="23"/>
      <c r="L43" s="23"/>
      <c r="M43" s="23"/>
      <c r="N43" s="23"/>
      <c r="O43" s="23"/>
    </row>
    <row r="44" spans="1:22" s="21" customFormat="1" ht="33.950000000000003" customHeight="1" thickTop="1" thickBot="1" x14ac:dyDescent="0.3">
      <c r="A44" s="63"/>
      <c r="B44" s="71"/>
      <c r="C44" s="92" t="str">
        <f>IFERROR(IF(VLOOKUP(D44,Do!$B$8:$E$96,3,0)=0,"-",VLOOKUP(D44,Do!$B$8:$E$96,3,0)),"-")</f>
        <v>-</v>
      </c>
      <c r="D44" s="92" t="str">
        <f>IF(Do!E44=0,"-",Do!E44)</f>
        <v>-</v>
      </c>
      <c r="E44" s="93" t="str">
        <f>IFERROR(IF(D44=0,"-",VLOOKUP(D44,Do!$B$8:$G$96,6,FALSE)),"-")</f>
        <v>-</v>
      </c>
      <c r="F44" s="258"/>
      <c r="G44" s="98" t="str">
        <f>IFERROR(IF(E44="-","-",IF(F44="","Em andamento",IF((F44-E44)&lt;=Do!H44,"Concluído no prazo","Concluído com atraso"))),"")</f>
        <v>-</v>
      </c>
      <c r="H44" s="259"/>
      <c r="I44" s="260"/>
      <c r="J44" s="261"/>
      <c r="K44" s="23"/>
      <c r="L44" s="23"/>
      <c r="M44" s="23"/>
      <c r="N44" s="23"/>
      <c r="O44" s="23"/>
    </row>
    <row r="45" spans="1:22" s="21" customFormat="1" ht="33.950000000000003" customHeight="1" thickTop="1" thickBot="1" x14ac:dyDescent="0.3">
      <c r="A45" s="63"/>
      <c r="B45" s="71"/>
      <c r="C45" s="92" t="str">
        <f>IFERROR(IF(VLOOKUP(D45,Do!$B$8:$E$96,3,0)=0,"-",VLOOKUP(D45,Do!$B$8:$E$96,3,0)),"-")</f>
        <v>-</v>
      </c>
      <c r="D45" s="92" t="str">
        <f>IF(Do!E45=0,"-",Do!E45)</f>
        <v>-</v>
      </c>
      <c r="E45" s="93" t="str">
        <f>IFERROR(IF(D45=0,"-",VLOOKUP(D45,Do!$B$8:$G$96,6,FALSE)),"-")</f>
        <v>-</v>
      </c>
      <c r="F45" s="258"/>
      <c r="G45" s="98" t="str">
        <f>IFERROR(IF(E45="-","-",IF(F45="","Em andamento",IF((F45-E45)&lt;=Do!H45,"Concluído no prazo","Concluído com atraso"))),"")</f>
        <v>-</v>
      </c>
      <c r="H45" s="259"/>
      <c r="I45" s="260"/>
      <c r="J45" s="261"/>
      <c r="K45" s="23"/>
      <c r="L45" s="23"/>
      <c r="M45" s="23"/>
      <c r="N45" s="23"/>
      <c r="O45" s="23"/>
    </row>
    <row r="46" spans="1:22" s="21" customFormat="1" ht="33.950000000000003" customHeight="1" thickTop="1" thickBot="1" x14ac:dyDescent="0.3">
      <c r="A46" s="63"/>
      <c r="B46" s="71"/>
      <c r="C46" s="92" t="str">
        <f>IFERROR(IF(VLOOKUP(D46,Do!$B$8:$E$96,3,0)=0,"-",VLOOKUP(D46,Do!$B$8:$E$96,3,0)),"-")</f>
        <v>-</v>
      </c>
      <c r="D46" s="92" t="str">
        <f>IF(Do!E46=0,"-",Do!E46)</f>
        <v>-</v>
      </c>
      <c r="E46" s="93" t="str">
        <f>IFERROR(IF(D46=0,"-",VLOOKUP(D46,Do!$B$8:$G$96,6,FALSE)),"-")</f>
        <v>-</v>
      </c>
      <c r="F46" s="258"/>
      <c r="G46" s="98" t="str">
        <f>IFERROR(IF(E46="-","-",IF(F46="","Em andamento",IF((F46-E46)&lt;=Do!H46,"Concluído no prazo","Concluído com atraso"))),"")</f>
        <v>-</v>
      </c>
      <c r="H46" s="259"/>
      <c r="I46" s="260"/>
      <c r="J46" s="261"/>
      <c r="K46" s="23"/>
      <c r="L46" s="23"/>
      <c r="M46" s="23"/>
      <c r="N46" s="23"/>
      <c r="O46" s="23"/>
    </row>
    <row r="47" spans="1:22" s="71" customFormat="1" ht="33.950000000000003" customHeight="1" thickTop="1" thickBot="1" x14ac:dyDescent="0.3">
      <c r="A47" s="63"/>
      <c r="C47" s="92" t="str">
        <f>IFERROR(IF(VLOOKUP(D47,Do!$B$8:$E$96,3,0)=0,"-",VLOOKUP(D47,Do!$B$8:$E$96,3,0)),"-")</f>
        <v>-</v>
      </c>
      <c r="D47" s="92" t="str">
        <f>IF(Do!E47=0,"-",Do!E47)</f>
        <v>-</v>
      </c>
      <c r="E47" s="93" t="str">
        <f>IFERROR(IF(D47=0,"-",VLOOKUP(D47,Do!$B$8:$G$96,6,FALSE)),"-")</f>
        <v>-</v>
      </c>
      <c r="F47" s="258"/>
      <c r="G47" s="98" t="str">
        <f>IFERROR(IF(E47="-","-",IF(F47="","Em andamento",IF((F47-E47)&lt;=Do!H47,"Concluído no prazo","Concluído com atraso"))),"")</f>
        <v>-</v>
      </c>
      <c r="H47" s="259"/>
      <c r="I47" s="260"/>
      <c r="J47" s="261"/>
      <c r="K47" s="23"/>
      <c r="L47" s="23"/>
      <c r="M47" s="23"/>
      <c r="N47" s="23"/>
      <c r="O47" s="23"/>
      <c r="P47" s="21"/>
      <c r="Q47" s="21"/>
      <c r="R47" s="21"/>
      <c r="S47" s="21"/>
      <c r="T47" s="21"/>
      <c r="U47" s="21"/>
      <c r="V47" s="21"/>
    </row>
    <row r="48" spans="1:22" s="71" customFormat="1" ht="33.950000000000003" customHeight="1" thickTop="1" thickBot="1" x14ac:dyDescent="0.3">
      <c r="A48" s="63"/>
      <c r="C48" s="92" t="str">
        <f>IFERROR(IF(VLOOKUP(D48,Do!$B$8:$E$96,3,0)=0,"-",VLOOKUP(D48,Do!$B$8:$E$96,3,0)),"-")</f>
        <v>-</v>
      </c>
      <c r="D48" s="92" t="str">
        <f>IF(Do!E48=0,"-",Do!E48)</f>
        <v>-</v>
      </c>
      <c r="E48" s="93" t="str">
        <f>IFERROR(IF(D48=0,"-",VLOOKUP(D48,Do!$B$8:$G$96,6,FALSE)),"-")</f>
        <v>-</v>
      </c>
      <c r="F48" s="258"/>
      <c r="G48" s="98" t="str">
        <f>IFERROR(IF(E48="-","-",IF(F48="","Em andamento",IF((F48-E48)&lt;=Do!H48,"Concluído no prazo","Concluído com atraso"))),"")</f>
        <v>-</v>
      </c>
      <c r="H48" s="259"/>
      <c r="I48" s="260"/>
      <c r="J48" s="261"/>
      <c r="K48" s="23"/>
      <c r="L48" s="23"/>
      <c r="M48" s="23"/>
      <c r="N48" s="23"/>
      <c r="O48" s="23"/>
      <c r="P48" s="21"/>
      <c r="Q48" s="21"/>
      <c r="R48" s="21"/>
      <c r="S48" s="21"/>
      <c r="T48" s="21"/>
      <c r="U48" s="21"/>
      <c r="V48" s="21"/>
    </row>
    <row r="49" spans="1:22" s="71" customFormat="1" ht="33.950000000000003" customHeight="1" thickTop="1" thickBot="1" x14ac:dyDescent="0.3">
      <c r="A49" s="63"/>
      <c r="C49" s="92" t="str">
        <f>IFERROR(IF(VLOOKUP(D49,Do!$B$8:$E$96,3,0)=0,"-",VLOOKUP(D49,Do!$B$8:$E$96,3,0)),"-")</f>
        <v>-</v>
      </c>
      <c r="D49" s="92" t="str">
        <f>IF(Do!E49=0,"-",Do!E49)</f>
        <v>-</v>
      </c>
      <c r="E49" s="93" t="str">
        <f>IFERROR(IF(D49=0,"-",VLOOKUP(D49,Do!$B$8:$G$96,6,FALSE)),"-")</f>
        <v>-</v>
      </c>
      <c r="F49" s="258"/>
      <c r="G49" s="98" t="str">
        <f>IFERROR(IF(E49="-","-",IF(F49="","Em andamento",IF((F49-E49)&lt;=Do!H49,"Concluído no prazo","Concluído com atraso"))),"")</f>
        <v>-</v>
      </c>
      <c r="H49" s="259"/>
      <c r="I49" s="260"/>
      <c r="J49" s="261"/>
      <c r="K49" s="23"/>
      <c r="L49" s="23"/>
      <c r="M49" s="23"/>
      <c r="N49" s="23"/>
      <c r="O49" s="23"/>
      <c r="P49" s="21"/>
      <c r="Q49" s="21"/>
      <c r="R49" s="21"/>
      <c r="S49" s="21"/>
      <c r="T49" s="21"/>
      <c r="U49" s="21"/>
      <c r="V49" s="21"/>
    </row>
    <row r="50" spans="1:22" s="71" customFormat="1" ht="33.950000000000003" customHeight="1" thickTop="1" thickBot="1" x14ac:dyDescent="0.3">
      <c r="A50" s="63"/>
      <c r="C50" s="92" t="str">
        <f>IFERROR(IF(VLOOKUP(D50,Do!$B$8:$E$96,3,0)=0,"-",VLOOKUP(D50,Do!$B$8:$E$96,3,0)),"-")</f>
        <v>-</v>
      </c>
      <c r="D50" s="92" t="str">
        <f>IF(Do!E50=0,"-",Do!E50)</f>
        <v>-</v>
      </c>
      <c r="E50" s="93" t="str">
        <f>IFERROR(IF(D50=0,"-",VLOOKUP(D50,Do!$B$8:$G$96,6,FALSE)),"-")</f>
        <v>-</v>
      </c>
      <c r="F50" s="258"/>
      <c r="G50" s="98" t="str">
        <f>IFERROR(IF(E50="-","-",IF(F50="","Em andamento",IF((F50-E50)&lt;=Do!H50,"Concluído no prazo","Concluído com atraso"))),"")</f>
        <v>-</v>
      </c>
      <c r="H50" s="259"/>
      <c r="I50" s="260"/>
      <c r="J50" s="261"/>
      <c r="K50" s="23"/>
      <c r="L50" s="23"/>
      <c r="M50" s="23"/>
      <c r="N50" s="23"/>
      <c r="O50" s="23"/>
      <c r="P50" s="21"/>
      <c r="Q50" s="21"/>
      <c r="R50" s="21"/>
      <c r="S50" s="21"/>
      <c r="T50" s="21"/>
      <c r="U50" s="21"/>
      <c r="V50" s="21"/>
    </row>
    <row r="51" spans="1:22" s="71" customFormat="1" ht="33.950000000000003" customHeight="1" thickTop="1" thickBot="1" x14ac:dyDescent="0.3">
      <c r="A51" s="63"/>
      <c r="C51" s="92" t="str">
        <f>IFERROR(IF(VLOOKUP(D51,Do!$B$8:$E$96,3,0)=0,"-",VLOOKUP(D51,Do!$B$8:$E$96,3,0)),"-")</f>
        <v>-</v>
      </c>
      <c r="D51" s="92" t="str">
        <f>IF(Do!E51=0,"-",Do!E51)</f>
        <v>-</v>
      </c>
      <c r="E51" s="93" t="str">
        <f>IFERROR(IF(D51=0,"-",VLOOKUP(D51,Do!$B$8:$G$96,6,FALSE)),"-")</f>
        <v>-</v>
      </c>
      <c r="F51" s="258"/>
      <c r="G51" s="98" t="str">
        <f>IFERROR(IF(E51="-","-",IF(F51="","Em andamento",IF((F51-E51)&lt;=Do!H51,"Concluído no prazo","Concluído com atraso"))),"")</f>
        <v>-</v>
      </c>
      <c r="H51" s="259"/>
      <c r="I51" s="260"/>
      <c r="J51" s="261"/>
      <c r="K51" s="23"/>
      <c r="L51" s="23"/>
      <c r="M51" s="23"/>
      <c r="N51" s="23"/>
      <c r="O51" s="23"/>
      <c r="P51" s="21"/>
      <c r="Q51" s="21"/>
      <c r="R51" s="21"/>
      <c r="S51" s="21"/>
      <c r="T51" s="21"/>
      <c r="U51" s="21"/>
      <c r="V51" s="21"/>
    </row>
    <row r="52" spans="1:22" s="71" customFormat="1" ht="33.950000000000003" customHeight="1" thickTop="1" thickBot="1" x14ac:dyDescent="0.3">
      <c r="A52" s="63"/>
      <c r="C52" s="92" t="str">
        <f>IFERROR(IF(VLOOKUP(D52,Do!$B$8:$E$96,3,0)=0,"-",VLOOKUP(D52,Do!$B$8:$E$96,3,0)),"-")</f>
        <v>-</v>
      </c>
      <c r="D52" s="92" t="str">
        <f>IF(Do!E52=0,"-",Do!E52)</f>
        <v>-</v>
      </c>
      <c r="E52" s="93" t="str">
        <f>IFERROR(IF(D52=0,"-",VLOOKUP(D52,Do!$B$8:$G$96,6,FALSE)),"-")</f>
        <v>-</v>
      </c>
      <c r="F52" s="258"/>
      <c r="G52" s="98" t="str">
        <f>IFERROR(IF(E52="-","-",IF(F52="","Em andamento",IF((F52-E52)&lt;=Do!H52,"Concluído no prazo","Concluído com atraso"))),"")</f>
        <v>-</v>
      </c>
      <c r="H52" s="259"/>
      <c r="I52" s="260"/>
      <c r="J52" s="261"/>
      <c r="K52" s="23"/>
      <c r="L52" s="23"/>
      <c r="M52" s="23"/>
      <c r="N52" s="23"/>
      <c r="O52" s="23"/>
      <c r="P52" s="21"/>
      <c r="Q52" s="21"/>
      <c r="R52" s="21"/>
      <c r="S52" s="21"/>
      <c r="T52" s="21"/>
      <c r="U52" s="21"/>
      <c r="V52" s="21"/>
    </row>
    <row r="53" spans="1:22" s="71" customFormat="1" ht="33.950000000000003" customHeight="1" thickTop="1" thickBot="1" x14ac:dyDescent="0.3">
      <c r="A53" s="63"/>
      <c r="C53" s="92" t="str">
        <f>IFERROR(IF(VLOOKUP(D53,Do!$B$8:$E$96,3,0)=0,"-",VLOOKUP(D53,Do!$B$8:$E$96,3,0)),"-")</f>
        <v>-</v>
      </c>
      <c r="D53" s="92" t="str">
        <f>IF(Do!E53=0,"-",Do!E53)</f>
        <v>-</v>
      </c>
      <c r="E53" s="93" t="str">
        <f>IFERROR(IF(D53=0,"-",VLOOKUP(D53,Do!$B$8:$G$96,6,FALSE)),"-")</f>
        <v>-</v>
      </c>
      <c r="F53" s="258"/>
      <c r="G53" s="98" t="str">
        <f>IFERROR(IF(E53="-","-",IF(F53="","Em andamento",IF((F53-E53)&lt;=Do!H53,"Concluído no prazo","Concluído com atraso"))),"")</f>
        <v>-</v>
      </c>
      <c r="H53" s="259"/>
      <c r="I53" s="260"/>
      <c r="J53" s="261"/>
      <c r="K53" s="23"/>
      <c r="L53" s="23"/>
      <c r="M53" s="23"/>
      <c r="N53" s="23"/>
      <c r="O53" s="23"/>
      <c r="P53" s="21"/>
      <c r="Q53" s="21"/>
      <c r="R53" s="21"/>
      <c r="S53" s="21"/>
      <c r="T53" s="21"/>
      <c r="U53" s="21"/>
      <c r="V53" s="21"/>
    </row>
    <row r="54" spans="1:22" s="82" customFormat="1" ht="33.950000000000003" customHeight="1" thickTop="1" thickBot="1" x14ac:dyDescent="0.3">
      <c r="A54" s="63"/>
      <c r="B54" s="71"/>
      <c r="C54" s="92" t="str">
        <f>IFERROR(IF(VLOOKUP(D54,Do!$B$8:$E$96,3,0)=0,"-",VLOOKUP(D54,Do!$B$8:$E$96,3,0)),"-")</f>
        <v>-</v>
      </c>
      <c r="D54" s="92" t="str">
        <f>IF(Do!E54=0,"-",Do!E54)</f>
        <v>-</v>
      </c>
      <c r="E54" s="93" t="str">
        <f>IFERROR(IF(D54=0,"-",VLOOKUP(D54,Do!$B$8:$G$96,6,FALSE)),"-")</f>
        <v>-</v>
      </c>
      <c r="F54" s="258"/>
      <c r="G54" s="98" t="str">
        <f>IFERROR(IF(E54="-","-",IF(F54="","Em andamento",IF((F54-E54)&lt;=Do!H54,"Concluído no prazo","Concluído com atraso"))),"")</f>
        <v>-</v>
      </c>
      <c r="H54" s="259"/>
      <c r="I54" s="260"/>
      <c r="J54" s="261"/>
      <c r="K54" s="23"/>
      <c r="L54" s="80"/>
      <c r="M54" s="80"/>
      <c r="N54" s="80"/>
      <c r="O54" s="80"/>
      <c r="P54" s="81"/>
      <c r="Q54" s="81"/>
      <c r="R54" s="81"/>
      <c r="S54" s="81"/>
      <c r="T54" s="81"/>
      <c r="U54" s="81"/>
      <c r="V54" s="81"/>
    </row>
    <row r="55" spans="1:22" s="82" customFormat="1" ht="33.950000000000003" customHeight="1" thickTop="1" thickBot="1" x14ac:dyDescent="0.3">
      <c r="A55" s="63"/>
      <c r="B55" s="71"/>
      <c r="C55" s="92" t="str">
        <f>IFERROR(IF(VLOOKUP(D55,Do!$B$8:$E$96,3,0)=0,"-",VLOOKUP(D55,Do!$B$8:$E$96,3,0)),"-")</f>
        <v>-</v>
      </c>
      <c r="D55" s="92" t="str">
        <f>IF(Do!E55=0,"-",Do!E55)</f>
        <v>-</v>
      </c>
      <c r="E55" s="93" t="str">
        <f>IFERROR(IF(D55=0,"-",VLOOKUP(D55,Do!$B$8:$G$96,6,FALSE)),"-")</f>
        <v>-</v>
      </c>
      <c r="F55" s="258"/>
      <c r="G55" s="98" t="str">
        <f>IFERROR(IF(E55="-","-",IF(F55="","Em andamento",IF((F55-E55)&lt;=Do!H55,"Concluído no prazo","Concluído com atraso"))),"")</f>
        <v>-</v>
      </c>
      <c r="H55" s="259"/>
      <c r="I55" s="260"/>
      <c r="J55" s="261"/>
      <c r="K55" s="23"/>
      <c r="L55" s="80"/>
      <c r="M55" s="80"/>
      <c r="N55" s="80"/>
      <c r="O55" s="80"/>
      <c r="P55" s="81"/>
      <c r="Q55" s="81"/>
      <c r="R55" s="81"/>
      <c r="S55" s="81"/>
      <c r="T55" s="81"/>
      <c r="U55" s="81"/>
      <c r="V55" s="81"/>
    </row>
    <row r="56" spans="1:22" s="82" customFormat="1" ht="33.950000000000003" customHeight="1" thickTop="1" thickBot="1" x14ac:dyDescent="0.3">
      <c r="A56" s="63"/>
      <c r="B56" s="71"/>
      <c r="C56" s="92" t="str">
        <f>IFERROR(IF(VLOOKUP(D56,Do!$B$8:$E$96,3,0)=0,"-",VLOOKUP(D56,Do!$B$8:$E$96,3,0)),"-")</f>
        <v>-</v>
      </c>
      <c r="D56" s="92" t="str">
        <f>IF(Do!E56=0,"-",Do!E56)</f>
        <v>-</v>
      </c>
      <c r="E56" s="93" t="str">
        <f>IFERROR(IF(D56=0,"-",VLOOKUP(D56,Do!$B$8:$G$96,6,FALSE)),"-")</f>
        <v>-</v>
      </c>
      <c r="F56" s="258"/>
      <c r="G56" s="98" t="str">
        <f>IFERROR(IF(E56="-","-",IF(F56="","Em andamento",IF((F56-E56)&lt;=Do!H56,"Concluído no prazo","Concluído com atraso"))),"")</f>
        <v>-</v>
      </c>
      <c r="H56" s="259"/>
      <c r="I56" s="260"/>
      <c r="J56" s="261"/>
      <c r="K56" s="80"/>
      <c r="L56" s="80"/>
      <c r="M56" s="80"/>
      <c r="N56" s="80"/>
      <c r="O56" s="80"/>
      <c r="P56" s="81"/>
      <c r="Q56" s="81"/>
      <c r="R56" s="81"/>
      <c r="S56" s="81"/>
      <c r="T56" s="81"/>
      <c r="U56" s="81"/>
      <c r="V56" s="81"/>
    </row>
    <row r="57" spans="1:22" s="82" customFormat="1" ht="33.950000000000003" customHeight="1" thickTop="1" thickBot="1" x14ac:dyDescent="0.3">
      <c r="A57" s="63"/>
      <c r="B57" s="71"/>
      <c r="C57" s="92" t="str">
        <f>IFERROR(IF(VLOOKUP(D57,Do!$B$8:$E$96,3,0)=0,"-",VLOOKUP(D57,Do!$B$8:$E$96,3,0)),"-")</f>
        <v>-</v>
      </c>
      <c r="D57" s="92" t="str">
        <f>IF(Do!E57=0,"-",Do!E57)</f>
        <v>-</v>
      </c>
      <c r="E57" s="93" t="str">
        <f>IFERROR(IF(D57=0,"-",VLOOKUP(D57,Do!$B$8:$G$96,6,FALSE)),"-")</f>
        <v>-</v>
      </c>
      <c r="F57" s="258"/>
      <c r="G57" s="98" t="str">
        <f>IFERROR(IF(E57="-","-",IF(F57="","Em andamento",IF((F57-E57)&lt;=Do!H57,"Concluído no prazo","Concluído com atraso"))),"")</f>
        <v>-</v>
      </c>
      <c r="H57" s="259"/>
      <c r="I57" s="260"/>
      <c r="J57" s="261"/>
      <c r="K57" s="80"/>
      <c r="L57" s="80"/>
      <c r="M57" s="80"/>
      <c r="N57" s="80"/>
      <c r="O57" s="80"/>
      <c r="P57" s="81"/>
      <c r="Q57" s="81"/>
      <c r="R57" s="81"/>
      <c r="S57" s="81"/>
      <c r="T57" s="81"/>
      <c r="U57" s="81"/>
      <c r="V57" s="81"/>
    </row>
    <row r="58" spans="1:22" s="82" customFormat="1" ht="33.950000000000003" customHeight="1" thickTop="1" thickBot="1" x14ac:dyDescent="0.3">
      <c r="A58" s="63"/>
      <c r="B58" s="71"/>
      <c r="C58" s="92" t="str">
        <f>IFERROR(IF(VLOOKUP(D58,Do!$B$8:$E$96,3,0)=0,"-",VLOOKUP(D58,Do!$B$8:$E$96,3,0)),"-")</f>
        <v>-</v>
      </c>
      <c r="D58" s="92" t="str">
        <f>IF(Do!E58=0,"-",Do!E58)</f>
        <v>-</v>
      </c>
      <c r="E58" s="93" t="str">
        <f>IFERROR(IF(D58=0,"-",VLOOKUP(D58,Do!$B$8:$G$96,6,FALSE)),"-")</f>
        <v>-</v>
      </c>
      <c r="F58" s="258"/>
      <c r="G58" s="98" t="str">
        <f>IFERROR(IF(E58="-","-",IF(F58="","Em andamento",IF((F58-E58)&lt;=Do!H58,"Concluído no prazo","Concluído com atraso"))),"")</f>
        <v>-</v>
      </c>
      <c r="H58" s="259"/>
      <c r="I58" s="260"/>
      <c r="J58" s="261"/>
      <c r="K58" s="80"/>
      <c r="L58" s="80"/>
      <c r="M58" s="80"/>
      <c r="N58" s="80"/>
      <c r="O58" s="80"/>
      <c r="P58" s="81"/>
      <c r="Q58" s="81"/>
      <c r="R58" s="81"/>
      <c r="S58" s="81"/>
      <c r="T58" s="81"/>
      <c r="U58" s="81"/>
      <c r="V58" s="81"/>
    </row>
    <row r="59" spans="1:22" s="82" customFormat="1" ht="33.950000000000003" customHeight="1" thickTop="1" thickBot="1" x14ac:dyDescent="0.3">
      <c r="A59" s="63"/>
      <c r="B59" s="71"/>
      <c r="C59" s="92" t="str">
        <f>IFERROR(IF(VLOOKUP(D59,Do!$B$8:$E$96,3,0)=0,"-",VLOOKUP(D59,Do!$B$8:$E$96,3,0)),"-")</f>
        <v>-</v>
      </c>
      <c r="D59" s="92" t="str">
        <f>IF(Do!E59=0,"-",Do!E59)</f>
        <v>-</v>
      </c>
      <c r="E59" s="93" t="str">
        <f>IFERROR(IF(D59=0,"-",VLOOKUP(D59,Do!$B$8:$G$96,6,FALSE)),"-")</f>
        <v>-</v>
      </c>
      <c r="F59" s="258"/>
      <c r="G59" s="98" t="str">
        <f>IFERROR(IF(E59="-","-",IF(F59="","Em andamento",IF((F59-E59)&lt;=Do!H59,"Concluído no prazo","Concluído com atraso"))),"")</f>
        <v>-</v>
      </c>
      <c r="H59" s="259"/>
      <c r="I59" s="260"/>
      <c r="J59" s="261"/>
      <c r="K59" s="80"/>
      <c r="L59" s="80"/>
      <c r="M59" s="80"/>
      <c r="N59" s="80"/>
      <c r="O59" s="80"/>
      <c r="P59" s="81"/>
      <c r="Q59" s="81"/>
      <c r="R59" s="81"/>
      <c r="S59" s="81"/>
      <c r="T59" s="81"/>
      <c r="U59" s="81"/>
      <c r="V59" s="81"/>
    </row>
    <row r="60" spans="1:22" s="82" customFormat="1" ht="33.950000000000003" customHeight="1" thickTop="1" thickBot="1" x14ac:dyDescent="0.3">
      <c r="A60" s="63"/>
      <c r="B60" s="71"/>
      <c r="C60" s="92" t="str">
        <f>IFERROR(IF(VLOOKUP(D60,Do!$B$8:$E$96,3,0)=0,"-",VLOOKUP(D60,Do!$B$8:$E$96,3,0)),"-")</f>
        <v>-</v>
      </c>
      <c r="D60" s="92" t="str">
        <f>IF(Do!E60=0,"-",Do!E60)</f>
        <v>-</v>
      </c>
      <c r="E60" s="93" t="str">
        <f>IFERROR(IF(D60=0,"-",VLOOKUP(D60,Do!$B$8:$G$96,6,FALSE)),"-")</f>
        <v>-</v>
      </c>
      <c r="F60" s="258"/>
      <c r="G60" s="98" t="str">
        <f>IFERROR(IF(E60="-","-",IF(F60="","Em andamento",IF((F60-E60)&lt;=Do!H60,"Concluído no prazo","Concluído com atraso"))),"")</f>
        <v>-</v>
      </c>
      <c r="H60" s="259"/>
      <c r="I60" s="260"/>
      <c r="J60" s="261"/>
      <c r="K60" s="80"/>
      <c r="L60" s="80"/>
      <c r="M60" s="80"/>
      <c r="N60" s="80"/>
      <c r="O60" s="80"/>
      <c r="P60" s="81"/>
      <c r="Q60" s="81"/>
      <c r="R60" s="81"/>
      <c r="S60" s="81"/>
      <c r="T60" s="81"/>
      <c r="U60" s="81"/>
      <c r="V60" s="81"/>
    </row>
    <row r="61" spans="1:22" s="71" customFormat="1" ht="33.950000000000003" customHeight="1" thickTop="1" thickBot="1" x14ac:dyDescent="0.3">
      <c r="A61" s="63"/>
      <c r="C61" s="92" t="str">
        <f>IFERROR(IF(VLOOKUP(D61,Do!$B$8:$E$96,3,0)=0,"-",VLOOKUP(D61,Do!$B$8:$E$96,3,0)),"-")</f>
        <v>-</v>
      </c>
      <c r="D61" s="92" t="str">
        <f>IF(Do!E61=0,"-",Do!E61)</f>
        <v>-</v>
      </c>
      <c r="E61" s="93" t="str">
        <f>IFERROR(IF(D61=0,"-",VLOOKUP(D61,Do!$B$8:$G$96,6,FALSE)),"-")</f>
        <v>-</v>
      </c>
      <c r="F61" s="258"/>
      <c r="G61" s="98" t="str">
        <f>IFERROR(IF(E61="-","-",IF(F61="","Em andamento",IF((F61-E61)&lt;=Do!H61,"Concluído no prazo","Concluído com atraso"))),"")</f>
        <v>-</v>
      </c>
      <c r="H61" s="259"/>
      <c r="I61" s="260"/>
      <c r="J61" s="261"/>
      <c r="K61" s="80"/>
      <c r="L61" s="23"/>
      <c r="M61" s="23"/>
      <c r="N61" s="23"/>
      <c r="O61" s="23"/>
      <c r="P61" s="21"/>
      <c r="Q61" s="21"/>
      <c r="R61" s="21"/>
      <c r="S61" s="21"/>
      <c r="T61" s="21"/>
      <c r="U61" s="21"/>
      <c r="V61" s="21"/>
    </row>
    <row r="62" spans="1:22" s="71" customFormat="1" ht="33.950000000000003" customHeight="1" thickTop="1" thickBot="1" x14ac:dyDescent="0.3">
      <c r="A62" s="63"/>
      <c r="C62" s="92" t="str">
        <f>IFERROR(IF(VLOOKUP(D62,Do!$B$8:$E$96,3,0)=0,"-",VLOOKUP(D62,Do!$B$8:$E$96,3,0)),"-")</f>
        <v>-</v>
      </c>
      <c r="D62" s="92" t="str">
        <f>IF(Do!E62=0,"-",Do!E62)</f>
        <v>-</v>
      </c>
      <c r="E62" s="93" t="str">
        <f>IFERROR(IF(D62=0,"-",VLOOKUP(D62,Do!$B$8:$G$96,6,FALSE)),"-")</f>
        <v>-</v>
      </c>
      <c r="F62" s="258"/>
      <c r="G62" s="98" t="str">
        <f>IFERROR(IF(E62="-","-",IF(F62="","Em andamento",IF((F62-E62)&lt;=Do!H62,"Concluído no prazo","Concluído com atraso"))),"")</f>
        <v>-</v>
      </c>
      <c r="H62" s="259"/>
      <c r="I62" s="260"/>
      <c r="J62" s="261"/>
      <c r="K62" s="80"/>
      <c r="L62" s="23"/>
      <c r="M62" s="23"/>
      <c r="N62" s="23"/>
      <c r="O62" s="23"/>
      <c r="P62" s="21"/>
      <c r="Q62" s="21"/>
      <c r="R62" s="21"/>
      <c r="S62" s="21"/>
      <c r="T62" s="21"/>
      <c r="U62" s="21"/>
      <c r="V62" s="21"/>
    </row>
    <row r="63" spans="1:22" s="71" customFormat="1" ht="33.950000000000003" customHeight="1" thickTop="1" thickBot="1" x14ac:dyDescent="0.3">
      <c r="A63" s="63"/>
      <c r="C63" s="92" t="str">
        <f>IFERROR(IF(VLOOKUP(D63,Do!$B$8:$E$96,3,0)=0,"-",VLOOKUP(D63,Do!$B$8:$E$96,3,0)),"-")</f>
        <v>-</v>
      </c>
      <c r="D63" s="92" t="str">
        <f>IF(Do!E63=0,"-",Do!E63)</f>
        <v>-</v>
      </c>
      <c r="E63" s="93" t="str">
        <f>IFERROR(IF(D63=0,"-",VLOOKUP(D63,Do!$B$8:$G$96,6,FALSE)),"-")</f>
        <v>-</v>
      </c>
      <c r="F63" s="258"/>
      <c r="G63" s="98" t="str">
        <f>IFERROR(IF(E63="-","-",IF(F63="","Em andamento",IF((F63-E63)&lt;=Do!H63,"Concluído no prazo","Concluído com atraso"))),"")</f>
        <v>-</v>
      </c>
      <c r="H63" s="259"/>
      <c r="I63" s="260"/>
      <c r="J63" s="261"/>
      <c r="K63" s="23"/>
      <c r="L63" s="23"/>
      <c r="M63" s="23"/>
      <c r="N63" s="23"/>
      <c r="O63" s="23"/>
      <c r="P63" s="21"/>
      <c r="Q63" s="21"/>
      <c r="R63" s="21"/>
      <c r="S63" s="21"/>
      <c r="T63" s="21"/>
      <c r="U63" s="21"/>
      <c r="V63" s="21"/>
    </row>
    <row r="64" spans="1:22" s="71" customFormat="1" ht="33.950000000000003" customHeight="1" thickTop="1" thickBot="1" x14ac:dyDescent="0.3">
      <c r="A64" s="63"/>
      <c r="C64" s="92" t="str">
        <f>IFERROR(IF(VLOOKUP(D64,Do!$B$8:$E$96,3,0)=0,"-",VLOOKUP(D64,Do!$B$8:$E$96,3,0)),"-")</f>
        <v>-</v>
      </c>
      <c r="D64" s="92" t="str">
        <f>IF(Do!E64=0,"-",Do!E64)</f>
        <v>-</v>
      </c>
      <c r="E64" s="93" t="str">
        <f>IFERROR(IF(D64=0,"-",VLOOKUP(D64,Do!$B$8:$G$96,6,FALSE)),"-")</f>
        <v>-</v>
      </c>
      <c r="F64" s="258"/>
      <c r="G64" s="98" t="str">
        <f>IFERROR(IF(E64="-","-",IF(F64="","Em andamento",IF((F64-E64)&lt;=Do!H64,"Concluído no prazo","Concluído com atraso"))),"")</f>
        <v>-</v>
      </c>
      <c r="H64" s="259"/>
      <c r="I64" s="260"/>
      <c r="J64" s="261"/>
      <c r="K64" s="23"/>
      <c r="L64" s="23"/>
      <c r="M64" s="23"/>
      <c r="N64" s="23"/>
      <c r="O64" s="23"/>
      <c r="P64" s="21"/>
      <c r="Q64" s="21"/>
      <c r="R64" s="21"/>
      <c r="S64" s="21"/>
      <c r="T64" s="21"/>
      <c r="U64" s="21"/>
      <c r="V64" s="21"/>
    </row>
    <row r="65" spans="1:22" s="71" customFormat="1" ht="33.950000000000003" customHeight="1" thickTop="1" thickBot="1" x14ac:dyDescent="0.3">
      <c r="A65" s="63"/>
      <c r="C65" s="92" t="str">
        <f>IFERROR(IF(VLOOKUP(D65,Do!$B$8:$E$96,3,0)=0,"-",VLOOKUP(D65,Do!$B$8:$E$96,3,0)),"-")</f>
        <v>-</v>
      </c>
      <c r="D65" s="92" t="str">
        <f>IF(Do!E65=0,"-",Do!E65)</f>
        <v>-</v>
      </c>
      <c r="E65" s="93" t="str">
        <f>IFERROR(IF(D65=0,"-",VLOOKUP(D65,Do!$B$8:$G$96,6,FALSE)),"-")</f>
        <v>-</v>
      </c>
      <c r="F65" s="258"/>
      <c r="G65" s="98" t="str">
        <f>IFERROR(IF(E65="-","-",IF(F65="","Em andamento",IF((F65-E65)&lt;=Do!H65,"Concluído no prazo","Concluído com atraso"))),"")</f>
        <v>-</v>
      </c>
      <c r="H65" s="259"/>
      <c r="I65" s="260"/>
      <c r="J65" s="261"/>
      <c r="K65" s="23"/>
      <c r="L65" s="23"/>
      <c r="M65" s="23"/>
      <c r="N65" s="23"/>
      <c r="O65" s="23"/>
      <c r="P65" s="21"/>
      <c r="Q65" s="21"/>
      <c r="R65" s="21"/>
      <c r="S65" s="21"/>
      <c r="T65" s="21"/>
      <c r="U65" s="21"/>
      <c r="V65" s="21"/>
    </row>
    <row r="66" spans="1:22" s="71" customFormat="1" ht="33.950000000000003" customHeight="1" thickTop="1" thickBot="1" x14ac:dyDescent="0.3">
      <c r="A66" s="63"/>
      <c r="C66" s="92" t="str">
        <f>IFERROR(IF(VLOOKUP(D66,Do!$B$8:$E$96,3,0)=0,"-",VLOOKUP(D66,Do!$B$8:$E$96,3,0)),"-")</f>
        <v>-</v>
      </c>
      <c r="D66" s="92" t="str">
        <f>IF(Do!E66=0,"-",Do!E66)</f>
        <v>-</v>
      </c>
      <c r="E66" s="93" t="str">
        <f>IFERROR(IF(D66=0,"-",VLOOKUP(D66,Do!$B$8:$G$96,6,FALSE)),"-")</f>
        <v>-</v>
      </c>
      <c r="F66" s="258"/>
      <c r="G66" s="98" t="str">
        <f>IFERROR(IF(E66="-","-",IF(F66="","Em andamento",IF((F66-E66)&lt;=Do!H66,"Concluído no prazo","Concluído com atraso"))),"")</f>
        <v>-</v>
      </c>
      <c r="H66" s="259"/>
      <c r="I66" s="260"/>
      <c r="J66" s="261"/>
      <c r="K66" s="23"/>
      <c r="L66" s="23"/>
      <c r="M66" s="23"/>
      <c r="N66" s="23"/>
      <c r="O66" s="23"/>
      <c r="P66" s="21"/>
      <c r="Q66" s="21"/>
      <c r="R66" s="21"/>
      <c r="S66" s="21"/>
      <c r="T66" s="21"/>
      <c r="U66" s="21"/>
      <c r="V66" s="21"/>
    </row>
    <row r="67" spans="1:22" s="71" customFormat="1" ht="33.950000000000003" customHeight="1" thickTop="1" thickBot="1" x14ac:dyDescent="0.3">
      <c r="A67" s="63"/>
      <c r="C67" s="92" t="str">
        <f>IFERROR(IF(VLOOKUP(D67,Do!$B$8:$E$96,3,0)=0,"-",VLOOKUP(D67,Do!$B$8:$E$96,3,0)),"-")</f>
        <v>-</v>
      </c>
      <c r="D67" s="92" t="str">
        <f>IF(Do!E67=0,"-",Do!E67)</f>
        <v>-</v>
      </c>
      <c r="E67" s="93" t="str">
        <f>IFERROR(IF(D67=0,"-",VLOOKUP(D67,Do!$B$8:$G$96,6,FALSE)),"-")</f>
        <v>-</v>
      </c>
      <c r="F67" s="258"/>
      <c r="G67" s="98" t="str">
        <f>IFERROR(IF(E67="-","-",IF(F67="","Em andamento",IF((F67-E67)&lt;=Do!H67,"Concluído no prazo","Concluído com atraso"))),"")</f>
        <v>-</v>
      </c>
      <c r="H67" s="259"/>
      <c r="I67" s="260"/>
      <c r="J67" s="261"/>
      <c r="K67" s="23"/>
      <c r="L67" s="23"/>
      <c r="M67" s="23"/>
      <c r="N67" s="23"/>
      <c r="O67" s="23"/>
      <c r="P67" s="21"/>
      <c r="Q67" s="21"/>
      <c r="R67" s="21"/>
      <c r="S67" s="21"/>
      <c r="T67" s="21"/>
      <c r="U67" s="21"/>
      <c r="V67" s="21"/>
    </row>
    <row r="68" spans="1:22" s="71" customFormat="1" ht="33.950000000000003" customHeight="1" thickTop="1" thickBot="1" x14ac:dyDescent="0.3">
      <c r="A68" s="63"/>
      <c r="C68" s="92" t="str">
        <f>IFERROR(IF(VLOOKUP(D68,Do!$B$8:$E$96,3,0)=0,"-",VLOOKUP(D68,Do!$B$8:$E$96,3,0)),"-")</f>
        <v>-</v>
      </c>
      <c r="D68" s="92" t="str">
        <f>IF(Do!E68=0,"-",Do!E68)</f>
        <v>-</v>
      </c>
      <c r="E68" s="93" t="str">
        <f>IFERROR(IF(D68=0,"-",VLOOKUP(D68,Do!$B$8:$G$96,6,FALSE)),"-")</f>
        <v>-</v>
      </c>
      <c r="F68" s="258"/>
      <c r="G68" s="98" t="str">
        <f>IFERROR(IF(E68="-","-",IF(F68="","Em andamento",IF((F68-E68)&lt;=Do!H68,"Concluído no prazo","Concluído com atraso"))),"")</f>
        <v>-</v>
      </c>
      <c r="H68" s="259"/>
      <c r="I68" s="260"/>
      <c r="J68" s="261"/>
      <c r="K68" s="23"/>
      <c r="L68" s="23"/>
      <c r="M68" s="23"/>
      <c r="N68" s="23"/>
      <c r="O68" s="23"/>
      <c r="P68" s="21"/>
      <c r="Q68" s="21"/>
      <c r="R68" s="21"/>
      <c r="S68" s="21"/>
      <c r="T68" s="21"/>
      <c r="U68" s="21"/>
      <c r="V68" s="21"/>
    </row>
    <row r="69" spans="1:22" s="71" customFormat="1" ht="33.950000000000003" customHeight="1" thickTop="1" thickBot="1" x14ac:dyDescent="0.3">
      <c r="A69" s="63"/>
      <c r="C69" s="92" t="str">
        <f>IFERROR(IF(VLOOKUP(D69,Do!$B$8:$E$96,3,0)=0,"-",VLOOKUP(D69,Do!$B$8:$E$96,3,0)),"-")</f>
        <v>-</v>
      </c>
      <c r="D69" s="92" t="str">
        <f>IF(Do!E69=0,"-",Do!E69)</f>
        <v>-</v>
      </c>
      <c r="E69" s="93" t="str">
        <f>IFERROR(IF(D69=0,"-",VLOOKUP(D69,Do!$B$8:$G$96,6,FALSE)),"-")</f>
        <v>-</v>
      </c>
      <c r="F69" s="258"/>
      <c r="G69" s="98" t="str">
        <f>IFERROR(IF(E69="-","-",IF(F69="","Em andamento",IF((F69-E69)&lt;=Do!H69,"Concluído no prazo","Concluído com atraso"))),"")</f>
        <v>-</v>
      </c>
      <c r="H69" s="259"/>
      <c r="I69" s="260"/>
      <c r="J69" s="261"/>
      <c r="K69" s="23"/>
      <c r="L69" s="23"/>
      <c r="M69" s="23"/>
      <c r="N69" s="23"/>
      <c r="O69" s="23"/>
      <c r="P69" s="21"/>
      <c r="Q69" s="21"/>
      <c r="R69" s="21"/>
      <c r="S69" s="21"/>
      <c r="T69" s="21"/>
      <c r="U69" s="21"/>
      <c r="V69" s="21"/>
    </row>
    <row r="70" spans="1:22" s="71" customFormat="1" ht="33.950000000000003" customHeight="1" thickTop="1" thickBot="1" x14ac:dyDescent="0.3">
      <c r="A70" s="63"/>
      <c r="C70" s="92" t="str">
        <f>IFERROR(IF(VLOOKUP(D70,Do!$B$8:$E$96,3,0)=0,"-",VLOOKUP(D70,Do!$B$8:$E$96,3,0)),"-")</f>
        <v>-</v>
      </c>
      <c r="D70" s="92" t="str">
        <f>IF(Do!E70=0,"-",Do!E70)</f>
        <v>-</v>
      </c>
      <c r="E70" s="93" t="str">
        <f>IFERROR(IF(D70=0,"-",VLOOKUP(D70,Do!$B$8:$G$96,6,FALSE)),"-")</f>
        <v>-</v>
      </c>
      <c r="F70" s="258"/>
      <c r="G70" s="98" t="str">
        <f>IFERROR(IF(E70="-","-",IF(F70="","Em andamento",IF((F70-E70)&lt;=Do!H70,"Concluído no prazo","Concluído com atraso"))),"")</f>
        <v>-</v>
      </c>
      <c r="H70" s="259"/>
      <c r="I70" s="260"/>
      <c r="J70" s="261"/>
      <c r="K70" s="23"/>
      <c r="L70" s="23"/>
      <c r="M70" s="23"/>
      <c r="N70" s="23"/>
      <c r="O70" s="23"/>
      <c r="P70" s="21"/>
      <c r="Q70" s="21"/>
      <c r="R70" s="21"/>
      <c r="S70" s="21"/>
      <c r="T70" s="21"/>
      <c r="U70" s="21"/>
      <c r="V70" s="21"/>
    </row>
    <row r="71" spans="1:22" s="71" customFormat="1" ht="33.950000000000003" customHeight="1" thickTop="1" thickBot="1" x14ac:dyDescent="0.3">
      <c r="A71" s="63"/>
      <c r="C71" s="92" t="str">
        <f>IFERROR(IF(VLOOKUP(D71,Do!$B$8:$E$96,3,0)=0,"-",VLOOKUP(D71,Do!$B$8:$E$96,3,0)),"-")</f>
        <v>-</v>
      </c>
      <c r="D71" s="92" t="str">
        <f>IF(Do!E71=0,"-",Do!E71)</f>
        <v>-</v>
      </c>
      <c r="E71" s="93" t="str">
        <f>IFERROR(IF(D71=0,"-",VLOOKUP(D71,Do!$B$8:$G$96,6,FALSE)),"-")</f>
        <v>-</v>
      </c>
      <c r="F71" s="258"/>
      <c r="G71" s="98" t="str">
        <f>IFERROR(IF(E71="-","-",IF(F71="","Em andamento",IF((F71-E71)&lt;=Do!H71,"Concluído no prazo","Concluído com atraso"))),"")</f>
        <v>-</v>
      </c>
      <c r="H71" s="259"/>
      <c r="I71" s="260"/>
      <c r="J71" s="261"/>
      <c r="K71" s="23"/>
      <c r="L71" s="23"/>
      <c r="M71" s="23"/>
      <c r="N71" s="23"/>
      <c r="O71" s="23"/>
      <c r="P71" s="21"/>
      <c r="Q71" s="21"/>
      <c r="R71" s="21"/>
      <c r="S71" s="21"/>
      <c r="T71" s="21"/>
      <c r="U71" s="21"/>
      <c r="V71" s="21"/>
    </row>
    <row r="72" spans="1:22" s="71" customFormat="1" ht="33.950000000000003" customHeight="1" thickTop="1" thickBot="1" x14ac:dyDescent="0.3">
      <c r="A72" s="63"/>
      <c r="C72" s="92" t="str">
        <f>IFERROR(IF(VLOOKUP(D72,Do!$B$8:$E$96,3,0)=0,"-",VLOOKUP(D72,Do!$B$8:$E$96,3,0)),"-")</f>
        <v>-</v>
      </c>
      <c r="D72" s="92" t="str">
        <f>IF(Do!E72=0,"-",Do!E72)</f>
        <v>-</v>
      </c>
      <c r="E72" s="93" t="str">
        <f>IFERROR(IF(D72=0,"-",VLOOKUP(D72,Do!$B$8:$G$96,6,FALSE)),"-")</f>
        <v>-</v>
      </c>
      <c r="F72" s="258"/>
      <c r="G72" s="98" t="str">
        <f>IFERROR(IF(E72="-","-",IF(F72="","Em andamento",IF((F72-E72)&lt;=Do!H72,"Concluído no prazo","Concluído com atraso"))),"")</f>
        <v>-</v>
      </c>
      <c r="H72" s="259"/>
      <c r="I72" s="260"/>
      <c r="J72" s="261"/>
      <c r="K72" s="23"/>
      <c r="L72" s="23"/>
      <c r="M72" s="23"/>
      <c r="N72" s="23"/>
      <c r="O72" s="23"/>
      <c r="P72" s="21"/>
      <c r="Q72" s="21"/>
      <c r="R72" s="21"/>
      <c r="S72" s="21"/>
      <c r="T72" s="21"/>
      <c r="U72" s="21"/>
      <c r="V72" s="21"/>
    </row>
    <row r="73" spans="1:22" s="71" customFormat="1" ht="33.950000000000003" customHeight="1" thickTop="1" thickBot="1" x14ac:dyDescent="0.3">
      <c r="A73" s="63"/>
      <c r="C73" s="92" t="str">
        <f>IFERROR(IF(VLOOKUP(D73,Do!$B$8:$E$96,3,0)=0,"-",VLOOKUP(D73,Do!$B$8:$E$96,3,0)),"-")</f>
        <v>-</v>
      </c>
      <c r="D73" s="92" t="str">
        <f>IF(Do!E73=0,"-",Do!E73)</f>
        <v>-</v>
      </c>
      <c r="E73" s="93" t="str">
        <f>IFERROR(IF(D73=0,"-",VLOOKUP(D73,Do!$B$8:$G$96,6,FALSE)),"-")</f>
        <v>-</v>
      </c>
      <c r="F73" s="258"/>
      <c r="G73" s="98" t="str">
        <f>IFERROR(IF(E73="-","-",IF(F73="","Em andamento",IF((F73-E73)&lt;=Do!H73,"Concluído no prazo","Concluído com atraso"))),"")</f>
        <v>-</v>
      </c>
      <c r="H73" s="259"/>
      <c r="I73" s="260"/>
      <c r="J73" s="261"/>
      <c r="K73" s="23"/>
      <c r="L73" s="23"/>
      <c r="M73" s="23"/>
      <c r="N73" s="23"/>
      <c r="O73" s="23"/>
      <c r="P73" s="21"/>
      <c r="Q73" s="21"/>
      <c r="R73" s="21"/>
      <c r="S73" s="21"/>
      <c r="T73" s="21"/>
      <c r="U73" s="21"/>
      <c r="V73" s="21"/>
    </row>
    <row r="74" spans="1:22" s="71" customFormat="1" ht="33.950000000000003" customHeight="1" thickTop="1" thickBot="1" x14ac:dyDescent="0.3">
      <c r="A74" s="63"/>
      <c r="C74" s="92" t="str">
        <f>IFERROR(IF(VLOOKUP(D74,Do!$B$8:$E$96,3,0)=0,"-",VLOOKUP(D74,Do!$B$8:$E$96,3,0)),"-")</f>
        <v>-</v>
      </c>
      <c r="D74" s="92" t="str">
        <f>IF(Do!E74=0,"-",Do!E74)</f>
        <v>-</v>
      </c>
      <c r="E74" s="93" t="str">
        <f>IFERROR(IF(D74=0,"-",VLOOKUP(D74,Do!$B$8:$G$96,6,FALSE)),"-")</f>
        <v>-</v>
      </c>
      <c r="F74" s="258"/>
      <c r="G74" s="98" t="str">
        <f>IFERROR(IF(E74="-","-",IF(F74="","Em andamento",IF((F74-E74)&lt;=Do!H74,"Concluído no prazo","Concluído com atraso"))),"")</f>
        <v>-</v>
      </c>
      <c r="H74" s="259"/>
      <c r="I74" s="260"/>
      <c r="J74" s="261"/>
      <c r="K74" s="23"/>
      <c r="L74" s="23"/>
      <c r="M74" s="23"/>
      <c r="N74" s="23"/>
      <c r="O74" s="23"/>
      <c r="P74" s="21"/>
      <c r="Q74" s="21"/>
      <c r="R74" s="21"/>
      <c r="S74" s="21"/>
      <c r="T74" s="21"/>
      <c r="U74" s="21"/>
      <c r="V74" s="21"/>
    </row>
    <row r="75" spans="1:22" s="71" customFormat="1" ht="33.950000000000003" customHeight="1" thickTop="1" thickBot="1" x14ac:dyDescent="0.3">
      <c r="A75" s="63"/>
      <c r="C75" s="92" t="str">
        <f>IFERROR(IF(VLOOKUP(D75,Do!$B$8:$E$96,3,0)=0,"-",VLOOKUP(D75,Do!$B$8:$E$96,3,0)),"-")</f>
        <v>-</v>
      </c>
      <c r="D75" s="92" t="str">
        <f>IF(Do!E75=0,"-",Do!E75)</f>
        <v>-</v>
      </c>
      <c r="E75" s="93" t="str">
        <f>IFERROR(IF(D75=0,"-",VLOOKUP(D75,Do!$B$8:$G$96,6,FALSE)),"-")</f>
        <v>-</v>
      </c>
      <c r="F75" s="258"/>
      <c r="G75" s="98" t="str">
        <f>IFERROR(IF(E75="-","-",IF(F75="","Em andamento",IF((F75-E75)&lt;=Do!H75,"Concluído no prazo","Concluído com atraso"))),"")</f>
        <v>-</v>
      </c>
      <c r="H75" s="259"/>
      <c r="I75" s="260"/>
      <c r="J75" s="261"/>
      <c r="K75" s="23"/>
      <c r="L75" s="23"/>
      <c r="M75" s="23"/>
      <c r="N75" s="23"/>
      <c r="O75" s="23"/>
      <c r="P75" s="21"/>
      <c r="Q75" s="21"/>
      <c r="R75" s="21"/>
      <c r="S75" s="21"/>
      <c r="T75" s="21"/>
      <c r="U75" s="21"/>
      <c r="V75" s="21"/>
    </row>
    <row r="76" spans="1:22" s="71" customFormat="1" ht="33.950000000000003" customHeight="1" thickTop="1" thickBot="1" x14ac:dyDescent="0.3">
      <c r="A76" s="63"/>
      <c r="C76" s="92" t="str">
        <f>IFERROR(IF(VLOOKUP(D76,Do!$B$8:$E$96,3,0)=0,"-",VLOOKUP(D76,Do!$B$8:$E$96,3,0)),"-")</f>
        <v>-</v>
      </c>
      <c r="D76" s="92" t="str">
        <f>IF(Do!E76=0,"-",Do!E76)</f>
        <v>-</v>
      </c>
      <c r="E76" s="93" t="str">
        <f>IFERROR(IF(D76=0,"-",VLOOKUP(D76,Do!$B$8:$G$96,6,FALSE)),"-")</f>
        <v>-</v>
      </c>
      <c r="F76" s="258"/>
      <c r="G76" s="98" t="str">
        <f>IFERROR(IF(E76="-","-",IF(F76="","Em andamento",IF((F76-E76)&lt;=Do!H76,"Concluído no prazo","Concluído com atraso"))),"")</f>
        <v>-</v>
      </c>
      <c r="H76" s="259"/>
      <c r="I76" s="260"/>
      <c r="J76" s="261"/>
      <c r="K76" s="23"/>
      <c r="L76" s="23"/>
      <c r="M76" s="23"/>
      <c r="N76" s="23"/>
      <c r="O76" s="23"/>
      <c r="P76" s="21"/>
      <c r="Q76" s="21"/>
      <c r="R76" s="21"/>
      <c r="S76" s="21"/>
      <c r="T76" s="21"/>
      <c r="U76" s="21"/>
      <c r="V76" s="21"/>
    </row>
    <row r="77" spans="1:22" s="71" customFormat="1" ht="33.950000000000003" customHeight="1" thickTop="1" thickBot="1" x14ac:dyDescent="0.3">
      <c r="A77" s="63"/>
      <c r="C77" s="92" t="str">
        <f>IFERROR(IF(VLOOKUP(D77,Do!$B$8:$E$96,3,0)=0,"-",VLOOKUP(D77,Do!$B$8:$E$96,3,0)),"-")</f>
        <v>-</v>
      </c>
      <c r="D77" s="92" t="str">
        <f>IF(Do!E77=0,"-",Do!E77)</f>
        <v>-</v>
      </c>
      <c r="E77" s="93" t="str">
        <f>IFERROR(IF(D77=0,"-",VLOOKUP(D77,Do!$B$8:$G$96,6,FALSE)),"-")</f>
        <v>-</v>
      </c>
      <c r="F77" s="258"/>
      <c r="G77" s="98" t="str">
        <f>IFERROR(IF(E77="-","-",IF(F77="","Em andamento",IF((F77-E77)&lt;=Do!H77,"Concluído no prazo","Concluído com atraso"))),"")</f>
        <v>-</v>
      </c>
      <c r="H77" s="259"/>
      <c r="I77" s="260"/>
      <c r="J77" s="261"/>
      <c r="K77" s="23"/>
      <c r="L77" s="23"/>
      <c r="M77" s="23"/>
      <c r="N77" s="23"/>
      <c r="O77" s="23"/>
      <c r="P77" s="21"/>
      <c r="Q77" s="21"/>
      <c r="R77" s="21"/>
      <c r="S77" s="21"/>
      <c r="T77" s="21"/>
      <c r="U77" s="21"/>
      <c r="V77" s="21"/>
    </row>
    <row r="78" spans="1:22" s="71" customFormat="1" ht="33.950000000000003" customHeight="1" thickTop="1" thickBot="1" x14ac:dyDescent="0.3">
      <c r="A78" s="63"/>
      <c r="C78" s="92" t="str">
        <f>IFERROR(IF(VLOOKUP(D78,Do!$B$8:$E$96,3,0)=0,"-",VLOOKUP(D78,Do!$B$8:$E$96,3,0)),"-")</f>
        <v>-</v>
      </c>
      <c r="D78" s="92" t="str">
        <f>IF(Do!E78=0,"-",Do!E78)</f>
        <v>-</v>
      </c>
      <c r="E78" s="93" t="str">
        <f>IFERROR(IF(D78=0,"-",VLOOKUP(D78,Do!$B$8:$G$96,6,FALSE)),"-")</f>
        <v>-</v>
      </c>
      <c r="F78" s="258"/>
      <c r="G78" s="98" t="str">
        <f>IFERROR(IF(E78="-","-",IF(F78="","Em andamento",IF((F78-E78)&lt;=Do!H78,"Concluído no prazo","Concluído com atraso"))),"")</f>
        <v>-</v>
      </c>
      <c r="H78" s="259"/>
      <c r="I78" s="260"/>
      <c r="J78" s="261"/>
      <c r="K78" s="23"/>
      <c r="L78" s="23"/>
      <c r="M78" s="23"/>
      <c r="N78" s="23"/>
      <c r="O78" s="23"/>
      <c r="P78" s="21"/>
      <c r="Q78" s="21"/>
      <c r="R78" s="21"/>
      <c r="S78" s="21"/>
      <c r="T78" s="21"/>
      <c r="U78" s="21"/>
      <c r="V78" s="21"/>
    </row>
    <row r="79" spans="1:22" s="71" customFormat="1" ht="33.950000000000003" customHeight="1" thickTop="1" thickBot="1" x14ac:dyDescent="0.3">
      <c r="A79" s="63"/>
      <c r="C79" s="92" t="str">
        <f>IFERROR(IF(VLOOKUP(D79,Do!$B$8:$E$96,3,0)=0,"-",VLOOKUP(D79,Do!$B$8:$E$96,3,0)),"-")</f>
        <v>-</v>
      </c>
      <c r="D79" s="92" t="str">
        <f>IF(Do!E79=0,"-",Do!E79)</f>
        <v>-</v>
      </c>
      <c r="E79" s="93" t="str">
        <f>IFERROR(IF(D79=0,"-",VLOOKUP(D79,Do!$B$8:$G$96,6,FALSE)),"-")</f>
        <v>-</v>
      </c>
      <c r="F79" s="258"/>
      <c r="G79" s="98" t="str">
        <f>IFERROR(IF(E79="-","-",IF(F79="","Em andamento",IF((F79-E79)&lt;=Do!H79,"Concluído no prazo","Concluído com atraso"))),"")</f>
        <v>-</v>
      </c>
      <c r="H79" s="259"/>
      <c r="I79" s="260"/>
      <c r="J79" s="261"/>
      <c r="K79" s="23"/>
      <c r="L79" s="23"/>
      <c r="M79" s="23"/>
      <c r="N79" s="23"/>
      <c r="O79" s="23"/>
      <c r="P79" s="21"/>
      <c r="Q79" s="21"/>
      <c r="R79" s="21"/>
      <c r="S79" s="21"/>
      <c r="T79" s="21"/>
      <c r="U79" s="21"/>
      <c r="V79" s="21"/>
    </row>
    <row r="80" spans="1:22" s="71" customFormat="1" ht="33.950000000000003" customHeight="1" thickTop="1" thickBot="1" x14ac:dyDescent="0.3">
      <c r="A80" s="63"/>
      <c r="C80" s="92" t="str">
        <f>IFERROR(IF(VLOOKUP(D80,Do!$B$8:$E$96,3,0)=0,"-",VLOOKUP(D80,Do!$B$8:$E$96,3,0)),"-")</f>
        <v>-</v>
      </c>
      <c r="D80" s="92" t="str">
        <f>IF(Do!E80=0,"-",Do!E80)</f>
        <v>-</v>
      </c>
      <c r="E80" s="93" t="str">
        <f>IFERROR(IF(D80=0,"-",VLOOKUP(D80,Do!$B$8:$G$96,6,FALSE)),"-")</f>
        <v>-</v>
      </c>
      <c r="F80" s="258"/>
      <c r="G80" s="98" t="str">
        <f>IFERROR(IF(E80="-","-",IF(F80="","Em andamento",IF((F80-E80)&lt;=Do!H80,"Concluído no prazo","Concluído com atraso"))),"")</f>
        <v>-</v>
      </c>
      <c r="H80" s="259"/>
      <c r="I80" s="260"/>
      <c r="J80" s="261"/>
      <c r="K80" s="23"/>
      <c r="L80" s="23"/>
      <c r="M80" s="23"/>
      <c r="N80" s="23"/>
      <c r="O80" s="23"/>
      <c r="P80" s="21"/>
      <c r="Q80" s="21"/>
      <c r="R80" s="21"/>
      <c r="S80" s="21"/>
      <c r="T80" s="21"/>
      <c r="U80" s="21"/>
      <c r="V80" s="21"/>
    </row>
    <row r="81" spans="1:22" s="71" customFormat="1" ht="33.950000000000003" customHeight="1" thickTop="1" thickBot="1" x14ac:dyDescent="0.3">
      <c r="A81" s="63"/>
      <c r="C81" s="92" t="str">
        <f>IFERROR(IF(VLOOKUP(D81,Do!$B$8:$E$96,3,0)=0,"-",VLOOKUP(D81,Do!$B$8:$E$96,3,0)),"-")</f>
        <v>-</v>
      </c>
      <c r="D81" s="92" t="str">
        <f>IF(Do!E81=0,"-",Do!E81)</f>
        <v>-</v>
      </c>
      <c r="E81" s="93" t="str">
        <f>IFERROR(IF(D81=0,"-",VLOOKUP(D81,Do!$B$8:$G$96,6,FALSE)),"-")</f>
        <v>-</v>
      </c>
      <c r="F81" s="258"/>
      <c r="G81" s="98" t="str">
        <f>IFERROR(IF(E81="-","-",IF(F81="","Em andamento",IF((F81-E81)&lt;=Do!H81,"Concluído no prazo","Concluído com atraso"))),"")</f>
        <v>-</v>
      </c>
      <c r="H81" s="259"/>
      <c r="I81" s="260"/>
      <c r="J81" s="261"/>
      <c r="K81" s="23"/>
      <c r="L81" s="23"/>
      <c r="M81" s="23"/>
      <c r="N81" s="23"/>
      <c r="O81" s="23"/>
      <c r="P81" s="21"/>
      <c r="Q81" s="21"/>
      <c r="R81" s="21"/>
      <c r="S81" s="21"/>
      <c r="T81" s="21"/>
      <c r="U81" s="21"/>
      <c r="V81" s="21"/>
    </row>
    <row r="82" spans="1:22" s="71" customFormat="1" ht="33.950000000000003" customHeight="1" thickTop="1" thickBot="1" x14ac:dyDescent="0.3">
      <c r="A82" s="63"/>
      <c r="C82" s="92" t="str">
        <f>IFERROR(IF(VLOOKUP(D82,Do!$B$8:$E$96,3,0)=0,"-",VLOOKUP(D82,Do!$B$8:$E$96,3,0)),"-")</f>
        <v>-</v>
      </c>
      <c r="D82" s="92" t="str">
        <f>IF(Do!E82=0,"-",Do!E82)</f>
        <v>-</v>
      </c>
      <c r="E82" s="93" t="str">
        <f>IFERROR(IF(D82=0,"-",VLOOKUP(D82,Do!$B$8:$G$96,6,FALSE)),"-")</f>
        <v>-</v>
      </c>
      <c r="F82" s="258"/>
      <c r="G82" s="98" t="str">
        <f>IFERROR(IF(E82="-","-",IF(F82="","Em andamento",IF((F82-E82)&lt;=Do!H82,"Concluído no prazo","Concluído com atraso"))),"")</f>
        <v>-</v>
      </c>
      <c r="H82" s="259"/>
      <c r="I82" s="260"/>
      <c r="J82" s="261"/>
      <c r="K82" s="23"/>
      <c r="L82" s="23"/>
      <c r="M82" s="23"/>
      <c r="N82" s="23"/>
      <c r="O82" s="23"/>
      <c r="P82" s="21"/>
      <c r="Q82" s="21"/>
      <c r="R82" s="21"/>
      <c r="S82" s="21"/>
      <c r="T82" s="21"/>
      <c r="U82" s="21"/>
      <c r="V82" s="21"/>
    </row>
    <row r="83" spans="1:22" s="71" customFormat="1" ht="33.950000000000003" customHeight="1" thickTop="1" thickBot="1" x14ac:dyDescent="0.3">
      <c r="A83" s="63"/>
      <c r="C83" s="92" t="str">
        <f>IFERROR(IF(VLOOKUP(D83,Do!$B$8:$E$96,3,0)=0,"-",VLOOKUP(D83,Do!$B$8:$E$96,3,0)),"-")</f>
        <v>-</v>
      </c>
      <c r="D83" s="92" t="str">
        <f>IF(Do!E83=0,"-",Do!E83)</f>
        <v>-</v>
      </c>
      <c r="E83" s="93" t="str">
        <f>IFERROR(IF(D83=0,"-",VLOOKUP(D83,Do!$B$8:$G$96,6,FALSE)),"-")</f>
        <v>-</v>
      </c>
      <c r="F83" s="258"/>
      <c r="G83" s="98" t="str">
        <f>IFERROR(IF(E83="-","-",IF(F83="","Em andamento",IF((F83-E83)&lt;=Do!H83,"Concluído no prazo","Concluído com atraso"))),"")</f>
        <v>-</v>
      </c>
      <c r="H83" s="259"/>
      <c r="I83" s="260"/>
      <c r="J83" s="261"/>
      <c r="K83" s="23"/>
      <c r="L83" s="23"/>
      <c r="M83" s="23"/>
      <c r="N83" s="23"/>
      <c r="O83" s="23"/>
      <c r="P83" s="21"/>
      <c r="Q83" s="21"/>
      <c r="R83" s="21"/>
      <c r="S83" s="21"/>
      <c r="T83" s="21"/>
      <c r="U83" s="21"/>
      <c r="V83" s="21"/>
    </row>
    <row r="84" spans="1:22" s="71" customFormat="1" ht="33.950000000000003" customHeight="1" thickTop="1" thickBot="1" x14ac:dyDescent="0.3">
      <c r="A84" s="63"/>
      <c r="C84" s="92" t="str">
        <f>IFERROR(IF(VLOOKUP(D84,Do!$B$8:$E$96,3,0)=0,"-",VLOOKUP(D84,Do!$B$8:$E$96,3,0)),"-")</f>
        <v>-</v>
      </c>
      <c r="D84" s="92" t="str">
        <f>IF(Do!E84=0,"-",Do!E84)</f>
        <v>-</v>
      </c>
      <c r="E84" s="93" t="str">
        <f>IFERROR(IF(D84=0,"-",VLOOKUP(D84,Do!$B$8:$G$96,6,FALSE)),"-")</f>
        <v>-</v>
      </c>
      <c r="F84" s="258"/>
      <c r="G84" s="98" t="str">
        <f>IFERROR(IF(E84="-","-",IF(F84="","Em andamento",IF((F84-E84)&lt;=Do!H84,"Concluído no prazo","Concluído com atraso"))),"")</f>
        <v>-</v>
      </c>
      <c r="H84" s="259"/>
      <c r="I84" s="260"/>
      <c r="J84" s="261"/>
      <c r="K84" s="23"/>
      <c r="L84" s="23"/>
      <c r="M84" s="23"/>
      <c r="N84" s="23"/>
      <c r="O84" s="23"/>
      <c r="P84" s="21"/>
      <c r="Q84" s="21"/>
      <c r="R84" s="21"/>
      <c r="S84" s="21"/>
      <c r="T84" s="21"/>
      <c r="U84" s="21"/>
      <c r="V84" s="21"/>
    </row>
    <row r="85" spans="1:22" s="71" customFormat="1" ht="33.950000000000003" customHeight="1" thickTop="1" thickBot="1" x14ac:dyDescent="0.3">
      <c r="A85" s="63"/>
      <c r="C85" s="92" t="str">
        <f>IFERROR(IF(VLOOKUP(D85,Do!$B$8:$E$96,3,0)=0,"-",VLOOKUP(D85,Do!$B$8:$E$96,3,0)),"-")</f>
        <v>-</v>
      </c>
      <c r="D85" s="92" t="str">
        <f>IF(Do!E85=0,"-",Do!E85)</f>
        <v>-</v>
      </c>
      <c r="E85" s="93" t="str">
        <f>IFERROR(IF(D85=0,"-",VLOOKUP(D85,Do!$B$8:$G$96,6,FALSE)),"-")</f>
        <v>-</v>
      </c>
      <c r="F85" s="258"/>
      <c r="G85" s="98" t="str">
        <f>IFERROR(IF(E85="-","-",IF(F85="","Em andamento",IF((F85-E85)&lt;=Do!H85,"Concluído no prazo","Concluído com atraso"))),"")</f>
        <v>-</v>
      </c>
      <c r="H85" s="259"/>
      <c r="I85" s="260"/>
      <c r="J85" s="261"/>
      <c r="K85" s="23"/>
      <c r="L85" s="23"/>
      <c r="M85" s="23"/>
      <c r="N85" s="23"/>
      <c r="O85" s="23"/>
      <c r="P85" s="21"/>
      <c r="Q85" s="21"/>
      <c r="R85" s="21"/>
      <c r="S85" s="21"/>
      <c r="T85" s="21"/>
      <c r="U85" s="21"/>
      <c r="V85" s="21"/>
    </row>
    <row r="86" spans="1:22" s="71" customFormat="1" ht="33.950000000000003" customHeight="1" thickTop="1" thickBot="1" x14ac:dyDescent="0.3">
      <c r="A86" s="63"/>
      <c r="C86" s="92" t="str">
        <f>IFERROR(IF(VLOOKUP(D86,Do!$B$8:$E$96,3,0)=0,"-",VLOOKUP(D86,Do!$B$8:$E$96,3,0)),"-")</f>
        <v>-</v>
      </c>
      <c r="D86" s="92" t="str">
        <f>IF(Do!E86=0,"-",Do!E86)</f>
        <v>-</v>
      </c>
      <c r="E86" s="93" t="str">
        <f>IFERROR(IF(D86=0,"-",VLOOKUP(D86,Do!$B$8:$G$96,6,FALSE)),"-")</f>
        <v>-</v>
      </c>
      <c r="F86" s="258"/>
      <c r="G86" s="98" t="str">
        <f>IFERROR(IF(E86="-","-",IF(F86="","Em andamento",IF((F86-E86)&lt;=Do!H86,"Concluído no prazo","Concluído com atraso"))),"")</f>
        <v>-</v>
      </c>
      <c r="H86" s="259"/>
      <c r="I86" s="260"/>
      <c r="J86" s="261"/>
      <c r="K86" s="23"/>
      <c r="L86" s="23"/>
      <c r="M86" s="23"/>
      <c r="N86" s="23"/>
      <c r="O86" s="23"/>
      <c r="P86" s="21"/>
      <c r="Q86" s="21"/>
      <c r="R86" s="21"/>
      <c r="S86" s="21"/>
      <c r="T86" s="21"/>
      <c r="U86" s="21"/>
      <c r="V86" s="21"/>
    </row>
    <row r="87" spans="1:22" s="71" customFormat="1" ht="33.950000000000003" customHeight="1" thickTop="1" thickBot="1" x14ac:dyDescent="0.3">
      <c r="A87" s="63"/>
      <c r="C87" s="92" t="str">
        <f>IFERROR(IF(VLOOKUP(D87,Do!$B$8:$E$96,3,0)=0,"-",VLOOKUP(D87,Do!$B$8:$E$96,3,0)),"-")</f>
        <v>-</v>
      </c>
      <c r="D87" s="92" t="str">
        <f>IF(Do!E87=0,"-",Do!E87)</f>
        <v>-</v>
      </c>
      <c r="E87" s="93" t="str">
        <f>IFERROR(IF(D87=0,"-",VLOOKUP(D87,Do!$B$8:$G$96,6,FALSE)),"-")</f>
        <v>-</v>
      </c>
      <c r="F87" s="258"/>
      <c r="G87" s="98" t="str">
        <f>IFERROR(IF(E87="-","-",IF(F87="","Em andamento",IF((F87-E87)&lt;=Do!H87,"Concluído no prazo","Concluído com atraso"))),"")</f>
        <v>-</v>
      </c>
      <c r="H87" s="259"/>
      <c r="I87" s="260"/>
      <c r="J87" s="261"/>
      <c r="K87" s="23"/>
      <c r="L87" s="23"/>
      <c r="M87" s="23"/>
      <c r="N87" s="23"/>
      <c r="O87" s="23"/>
      <c r="P87" s="21"/>
      <c r="Q87" s="21"/>
      <c r="R87" s="21"/>
      <c r="S87" s="21"/>
      <c r="T87" s="21"/>
      <c r="U87" s="21"/>
      <c r="V87" s="21"/>
    </row>
    <row r="88" spans="1:22" s="71" customFormat="1" ht="33.950000000000003" customHeight="1" thickTop="1" thickBot="1" x14ac:dyDescent="0.3">
      <c r="A88" s="63"/>
      <c r="C88" s="92" t="str">
        <f>IFERROR(IF(VLOOKUP(D88,Do!$B$8:$E$96,3,0)=0,"-",VLOOKUP(D88,Do!$B$8:$E$96,3,0)),"-")</f>
        <v>-</v>
      </c>
      <c r="D88" s="92" t="str">
        <f>IF(Do!E88=0,"-",Do!E88)</f>
        <v>-</v>
      </c>
      <c r="E88" s="93" t="str">
        <f>IFERROR(IF(D88=0,"-",VLOOKUP(D88,Do!$B$8:$G$96,6,FALSE)),"-")</f>
        <v>-</v>
      </c>
      <c r="F88" s="258"/>
      <c r="G88" s="98" t="str">
        <f>IFERROR(IF(E88="-","-",IF(F88="","Em andamento",IF((F88-E88)&lt;=Do!H88,"Concluído no prazo","Concluído com atraso"))),"")</f>
        <v>-</v>
      </c>
      <c r="H88" s="259"/>
      <c r="I88" s="260"/>
      <c r="J88" s="261"/>
      <c r="K88" s="23"/>
      <c r="L88" s="23"/>
      <c r="M88" s="23"/>
      <c r="N88" s="23"/>
      <c r="O88" s="23"/>
      <c r="P88" s="21"/>
      <c r="Q88" s="21"/>
      <c r="R88" s="21"/>
      <c r="S88" s="21"/>
      <c r="T88" s="21"/>
      <c r="U88" s="21"/>
      <c r="V88" s="21"/>
    </row>
    <row r="89" spans="1:22" s="71" customFormat="1" ht="33.950000000000003" customHeight="1" thickTop="1" thickBot="1" x14ac:dyDescent="0.3">
      <c r="A89" s="63"/>
      <c r="C89" s="92" t="str">
        <f>IFERROR(IF(VLOOKUP(D89,Do!$B$8:$E$96,3,0)=0,"-",VLOOKUP(D89,Do!$B$8:$E$96,3,0)),"-")</f>
        <v>-</v>
      </c>
      <c r="D89" s="92" t="str">
        <f>IF(Do!E89=0,"-",Do!E89)</f>
        <v>-</v>
      </c>
      <c r="E89" s="93" t="str">
        <f>IFERROR(IF(D89=0,"-",VLOOKUP(D89,Do!$B$8:$G$96,6,FALSE)),"-")</f>
        <v>-</v>
      </c>
      <c r="F89" s="258"/>
      <c r="G89" s="98" t="str">
        <f>IFERROR(IF(E89="-","-",IF(F89="","Em andamento",IF((F89-E89)&lt;=Do!H89,"Concluído no prazo","Concluído com atraso"))),"")</f>
        <v>-</v>
      </c>
      <c r="H89" s="259"/>
      <c r="I89" s="260"/>
      <c r="J89" s="261"/>
      <c r="K89" s="23"/>
      <c r="L89" s="23"/>
      <c r="M89" s="23"/>
      <c r="N89" s="23"/>
      <c r="O89" s="23"/>
      <c r="P89" s="21"/>
      <c r="Q89" s="21"/>
      <c r="R89" s="21"/>
      <c r="S89" s="21"/>
      <c r="T89" s="21"/>
      <c r="U89" s="21"/>
      <c r="V89" s="21"/>
    </row>
    <row r="90" spans="1:22" s="71" customFormat="1" ht="33.950000000000003" customHeight="1" thickTop="1" thickBot="1" x14ac:dyDescent="0.3">
      <c r="A90" s="63"/>
      <c r="C90" s="92" t="str">
        <f>IFERROR(IF(VLOOKUP(D90,Do!$B$8:$E$96,3,0)=0,"-",VLOOKUP(D90,Do!$B$8:$E$96,3,0)),"-")</f>
        <v>-</v>
      </c>
      <c r="D90" s="92" t="str">
        <f>IF(Do!E90=0,"-",Do!E90)</f>
        <v>-</v>
      </c>
      <c r="E90" s="93" t="str">
        <f>IFERROR(IF(D90=0,"-",VLOOKUP(D90,Do!$B$8:$G$96,6,FALSE)),"-")</f>
        <v>-</v>
      </c>
      <c r="F90" s="258"/>
      <c r="G90" s="98" t="str">
        <f>IFERROR(IF(E90="-","-",IF(F90="","Em andamento",IF((F90-E90)&lt;=Do!H90,"Concluído no prazo","Concluído com atraso"))),"")</f>
        <v>-</v>
      </c>
      <c r="H90" s="259"/>
      <c r="I90" s="260"/>
      <c r="J90" s="261"/>
      <c r="K90" s="23"/>
      <c r="L90" s="23"/>
      <c r="M90" s="23"/>
      <c r="N90" s="23"/>
      <c r="O90" s="23"/>
      <c r="P90" s="21"/>
      <c r="Q90" s="21"/>
      <c r="R90" s="21"/>
      <c r="S90" s="21"/>
      <c r="T90" s="21"/>
      <c r="U90" s="21"/>
      <c r="V90" s="21"/>
    </row>
    <row r="91" spans="1:22" s="71" customFormat="1" ht="33.950000000000003" customHeight="1" thickTop="1" thickBot="1" x14ac:dyDescent="0.3">
      <c r="A91" s="63"/>
      <c r="C91" s="92" t="str">
        <f>IFERROR(IF(VLOOKUP(D91,Do!$B$8:$E$96,3,0)=0,"-",VLOOKUP(D91,Do!$B$8:$E$96,3,0)),"-")</f>
        <v>-</v>
      </c>
      <c r="D91" s="92" t="str">
        <f>IF(Do!E91=0,"-",Do!E91)</f>
        <v>-</v>
      </c>
      <c r="E91" s="93" t="str">
        <f>IFERROR(IF(D91=0,"-",VLOOKUP(D91,Do!$B$8:$G$96,6,FALSE)),"-")</f>
        <v>-</v>
      </c>
      <c r="F91" s="258"/>
      <c r="G91" s="98" t="str">
        <f>IFERROR(IF(E91="-","-",IF(F91="","Em andamento",IF((F91-E91)&lt;=Do!H91,"Concluído no prazo","Concluído com atraso"))),"")</f>
        <v>-</v>
      </c>
      <c r="H91" s="259"/>
      <c r="I91" s="260"/>
      <c r="J91" s="261"/>
      <c r="K91" s="23"/>
      <c r="L91" s="23"/>
      <c r="M91" s="23"/>
      <c r="N91" s="23"/>
      <c r="O91" s="23"/>
      <c r="P91" s="21"/>
      <c r="Q91" s="21"/>
      <c r="R91" s="21"/>
      <c r="S91" s="21"/>
      <c r="T91" s="21"/>
      <c r="U91" s="21"/>
      <c r="V91" s="21"/>
    </row>
    <row r="92" spans="1:22" s="71" customFormat="1" ht="33.950000000000003" customHeight="1" thickTop="1" thickBot="1" x14ac:dyDescent="0.3">
      <c r="A92" s="63"/>
      <c r="C92" s="92" t="str">
        <f>IFERROR(IF(VLOOKUP(D92,Do!$B$8:$E$96,3,0)=0,"-",VLOOKUP(D92,Do!$B$8:$E$96,3,0)),"-")</f>
        <v>-</v>
      </c>
      <c r="D92" s="92" t="str">
        <f>IF(Do!E92=0,"-",Do!E92)</f>
        <v>-</v>
      </c>
      <c r="E92" s="93" t="str">
        <f>IFERROR(IF(D92=0,"-",VLOOKUP(D92,Do!$B$8:$G$96,6,FALSE)),"-")</f>
        <v>-</v>
      </c>
      <c r="F92" s="258"/>
      <c r="G92" s="98" t="str">
        <f>IFERROR(IF(E92="-","-",IF(F92="","Em andamento",IF((F92-E92)&lt;=Do!H92,"Concluído no prazo","Concluído com atraso"))),"")</f>
        <v>-</v>
      </c>
      <c r="H92" s="259"/>
      <c r="I92" s="260"/>
      <c r="J92" s="261"/>
      <c r="K92" s="23"/>
      <c r="L92" s="23"/>
      <c r="M92" s="23"/>
      <c r="N92" s="23"/>
      <c r="O92" s="23"/>
      <c r="P92" s="21"/>
      <c r="Q92" s="21"/>
      <c r="R92" s="21"/>
      <c r="S92" s="21"/>
      <c r="T92" s="21"/>
      <c r="U92" s="21"/>
      <c r="V92" s="21"/>
    </row>
    <row r="93" spans="1:22" s="71" customFormat="1" ht="33.950000000000003" customHeight="1" thickTop="1" thickBot="1" x14ac:dyDescent="0.3">
      <c r="A93" s="63"/>
      <c r="C93" s="92" t="str">
        <f>IFERROR(IF(VLOOKUP(D93,Do!$B$8:$E$96,3,0)=0,"-",VLOOKUP(D93,Do!$B$8:$E$96,3,0)),"-")</f>
        <v>-</v>
      </c>
      <c r="D93" s="92" t="str">
        <f>IF(Do!E93=0,"-",Do!E93)</f>
        <v>-</v>
      </c>
      <c r="E93" s="93" t="str">
        <f>IFERROR(IF(D93=0,"-",VLOOKUP(D93,Do!$B$8:$G$96,6,FALSE)),"-")</f>
        <v>-</v>
      </c>
      <c r="F93" s="258"/>
      <c r="G93" s="98" t="str">
        <f>IFERROR(IF(E93="-","-",IF(F93="","Em andamento",IF((F93-E93)&lt;=Do!H93,"Concluído no prazo","Concluído com atraso"))),"")</f>
        <v>-</v>
      </c>
      <c r="H93" s="259"/>
      <c r="I93" s="260"/>
      <c r="J93" s="261"/>
      <c r="K93" s="23"/>
      <c r="L93" s="23"/>
      <c r="M93" s="23"/>
      <c r="N93" s="23"/>
      <c r="O93" s="23"/>
      <c r="P93" s="21"/>
      <c r="Q93" s="21"/>
      <c r="R93" s="21"/>
      <c r="S93" s="21"/>
      <c r="T93" s="21"/>
      <c r="U93" s="21"/>
      <c r="V93" s="21"/>
    </row>
    <row r="94" spans="1:22" s="71" customFormat="1" ht="33.950000000000003" customHeight="1" thickTop="1" thickBot="1" x14ac:dyDescent="0.3">
      <c r="A94" s="63"/>
      <c r="C94" s="92" t="str">
        <f>IFERROR(IF(VLOOKUP(D94,Do!$B$8:$E$96,3,0)=0,"-",VLOOKUP(D94,Do!$B$8:$E$96,3,0)),"-")</f>
        <v>-</v>
      </c>
      <c r="D94" s="92" t="str">
        <f>IF(Do!E94=0,"-",Do!E94)</f>
        <v>-</v>
      </c>
      <c r="E94" s="93" t="str">
        <f>IFERROR(IF(D94=0,"-",VLOOKUP(D94,Do!$B$8:$G$96,6,FALSE)),"-")</f>
        <v>-</v>
      </c>
      <c r="F94" s="258"/>
      <c r="G94" s="98" t="str">
        <f>IFERROR(IF(E94="-","-",IF(F94="","Em andamento",IF((F94-E94)&lt;=Do!H94,"Concluído no prazo","Concluído com atraso"))),"")</f>
        <v>-</v>
      </c>
      <c r="H94" s="259"/>
      <c r="I94" s="260"/>
      <c r="J94" s="261"/>
      <c r="K94" s="23"/>
      <c r="L94" s="23"/>
      <c r="M94" s="23"/>
      <c r="N94" s="23"/>
      <c r="O94" s="23"/>
      <c r="P94" s="21"/>
      <c r="Q94" s="21"/>
      <c r="R94" s="21"/>
      <c r="S94" s="21"/>
      <c r="T94" s="21"/>
      <c r="U94" s="21"/>
      <c r="V94" s="21"/>
    </row>
    <row r="95" spans="1:22" s="71" customFormat="1" ht="33.950000000000003" customHeight="1" thickTop="1" thickBot="1" x14ac:dyDescent="0.3">
      <c r="A95" s="63"/>
      <c r="C95" s="92" t="str">
        <f>IFERROR(IF(VLOOKUP(D95,Do!$B$8:$E$96,3,0)=0,"-",VLOOKUP(D95,Do!$B$8:$E$96,3,0)),"-")</f>
        <v>-</v>
      </c>
      <c r="D95" s="92" t="str">
        <f>IF(Do!E95=0,"-",Do!E95)</f>
        <v>-</v>
      </c>
      <c r="E95" s="93" t="str">
        <f>IFERROR(IF(D95=0,"-",VLOOKUP(D95,Do!$B$8:$G$96,6,FALSE)),"-")</f>
        <v>-</v>
      </c>
      <c r="F95" s="258"/>
      <c r="G95" s="98" t="str">
        <f>IFERROR(IF(E95="-","-",IF(F95="","Em andamento",IF((F95-E95)&lt;=Do!H95,"Concluído no prazo","Concluído com atraso"))),"")</f>
        <v>-</v>
      </c>
      <c r="H95" s="259"/>
      <c r="I95" s="260"/>
      <c r="J95" s="261"/>
      <c r="K95" s="23"/>
      <c r="L95" s="23"/>
      <c r="M95" s="23"/>
      <c r="N95" s="23"/>
      <c r="O95" s="23"/>
      <c r="P95" s="21"/>
      <c r="Q95" s="21"/>
      <c r="R95" s="21"/>
      <c r="S95" s="21"/>
      <c r="T95" s="21"/>
      <c r="U95" s="21"/>
      <c r="V95" s="21"/>
    </row>
    <row r="96" spans="1:22" s="71" customFormat="1" ht="33.950000000000003" customHeight="1" thickTop="1" thickBot="1" x14ac:dyDescent="0.3">
      <c r="A96" s="63"/>
      <c r="C96" s="92" t="str">
        <f>IFERROR(IF(VLOOKUP(D96,Do!$B$8:$E$96,3,0)=0,"-",VLOOKUP(D96,Do!$B$8:$E$96,3,0)),"-")</f>
        <v>-</v>
      </c>
      <c r="D96" s="92" t="str">
        <f>IF(Do!E96=0,"-",Do!E96)</f>
        <v>-</v>
      </c>
      <c r="E96" s="93" t="str">
        <f>IFERROR(IF(D96=0,"-",VLOOKUP(D96,Do!$B$8:$G$96,6,FALSE)),"-")</f>
        <v>-</v>
      </c>
      <c r="F96" s="258"/>
      <c r="G96" s="98" t="str">
        <f>IFERROR(IF(E96="-","-",IF(F96="","Em andamento",IF((F96-E96)&lt;=Do!H96,"Concluído no prazo","Concluído com atraso"))),"")</f>
        <v>-</v>
      </c>
      <c r="H96" s="259"/>
      <c r="I96" s="260"/>
      <c r="J96" s="261"/>
      <c r="K96" s="23"/>
      <c r="L96" s="23"/>
      <c r="M96" s="23"/>
      <c r="N96" s="23"/>
      <c r="O96" s="23"/>
      <c r="P96" s="21"/>
      <c r="Q96" s="21"/>
      <c r="R96" s="21"/>
      <c r="S96" s="21"/>
      <c r="T96" s="21"/>
      <c r="U96" s="21"/>
      <c r="V96" s="21"/>
    </row>
    <row r="97" spans="1:22" s="71" customFormat="1" ht="15.75" thickTop="1" x14ac:dyDescent="0.25">
      <c r="A97" s="63"/>
      <c r="F97" s="99"/>
      <c r="K97" s="23"/>
      <c r="L97" s="23"/>
      <c r="M97" s="23"/>
      <c r="N97" s="23"/>
      <c r="O97" s="23"/>
      <c r="P97" s="21"/>
      <c r="Q97" s="21"/>
      <c r="R97" s="21"/>
      <c r="S97" s="21"/>
      <c r="T97" s="21"/>
      <c r="U97" s="21"/>
      <c r="V97" s="21"/>
    </row>
    <row r="98" spans="1:22" x14ac:dyDescent="0.25">
      <c r="F98" s="100"/>
      <c r="K98" s="23"/>
    </row>
    <row r="99" spans="1:22" x14ac:dyDescent="0.25">
      <c r="F99" s="100"/>
      <c r="K99" s="23"/>
    </row>
    <row r="100" spans="1:22" x14ac:dyDescent="0.25">
      <c r="F100" s="100"/>
    </row>
  </sheetData>
  <sheetProtection password="9084" sheet="1" objects="1" scenarios="1" selectLockedCells="1"/>
  <conditionalFormatting sqref="G8:G13">
    <cfRule type="containsText" dxfId="30" priority="6" operator="containsText" text="Em andamento">
      <formula>NOT(ISERROR(SEARCH("Em andamento",G8)))</formula>
    </cfRule>
    <cfRule type="containsText" dxfId="29" priority="10" operator="containsText" text="Concluído no prazo">
      <formula>NOT(ISERROR(SEARCH("Concluído no prazo",G8)))</formula>
    </cfRule>
    <cfRule type="containsText" dxfId="28" priority="11" operator="containsText" text="Concluído com atraso">
      <formula>NOT(ISERROR(SEARCH("Concluído com atraso",G8)))</formula>
    </cfRule>
  </conditionalFormatting>
  <conditionalFormatting sqref="H8:I8">
    <cfRule type="containsText" dxfId="27" priority="8" operator="containsText" text="Sim">
      <formula>NOT(ISERROR(SEARCH("Sim",H8)))</formula>
    </cfRule>
    <cfRule type="containsText" dxfId="26" priority="9" operator="containsText" text="Não">
      <formula>NOT(ISERROR(SEARCH("Não",H8)))</formula>
    </cfRule>
  </conditionalFormatting>
  <conditionalFormatting sqref="H9:I96">
    <cfRule type="containsText" dxfId="25" priority="1" operator="containsText" text="Sim">
      <formula>NOT(ISERROR(SEARCH("Sim",H9)))</formula>
    </cfRule>
    <cfRule type="containsText" dxfId="24" priority="2" operator="containsText" text="Não">
      <formula>NOT(ISERROR(SEARCH("Não",H9)))</formula>
    </cfRule>
  </conditionalFormatting>
  <dataValidations count="1">
    <dataValidation type="list" allowBlank="1" showInputMessage="1" showErrorMessage="1" sqref="H8:I96">
      <formula1>"Sim, Não"</formula1>
    </dataValidation>
  </dataValidations>
  <pageMargins left="0.511811024" right="0.511811024" top="0.78740157499999996" bottom="0.78740157499999996" header="0.31496062000000002" footer="0.31496062000000002"/>
  <pageSetup paperSize="9" scale="23"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showGridLines="0" zoomScaleNormal="100" workbookViewId="0">
      <selection activeCell="E6" sqref="E6"/>
    </sheetView>
  </sheetViews>
  <sheetFormatPr defaultColWidth="8.85546875" defaultRowHeight="15" x14ac:dyDescent="0.25"/>
  <cols>
    <col min="1" max="2" width="1.7109375" style="63" customWidth="1"/>
    <col min="3" max="3" width="85.7109375" style="63" customWidth="1"/>
    <col min="4" max="4" width="0.5703125" style="63" customWidth="1"/>
    <col min="5" max="5" width="85.7109375" style="63" customWidth="1"/>
    <col min="6" max="56" width="8.85546875" style="63" customWidth="1"/>
    <col min="57" max="16384" width="8.85546875" style="63"/>
  </cols>
  <sheetData>
    <row r="1" spans="1:5" s="14" customFormat="1" ht="30" customHeight="1" x14ac:dyDescent="0.25"/>
    <row r="2" spans="1:5" s="16" customFormat="1" ht="24.95" customHeight="1" x14ac:dyDescent="0.25"/>
    <row r="3" spans="1:5" s="18" customFormat="1" ht="20.100000000000001" customHeight="1" x14ac:dyDescent="0.25"/>
    <row r="4" spans="1:5" s="83" customFormat="1" ht="23.25" x14ac:dyDescent="0.25">
      <c r="C4" s="64" t="s">
        <v>126</v>
      </c>
    </row>
    <row r="5" spans="1:5" ht="9.9499999999999993" customHeight="1" x14ac:dyDescent="0.25">
      <c r="C5" s="101"/>
    </row>
    <row r="6" spans="1:5" s="71" customFormat="1" ht="152.25" customHeight="1" x14ac:dyDescent="0.25">
      <c r="A6" s="63"/>
      <c r="C6" s="102" t="str">
        <f>IF(Plan!D6="","","O seu Problema, "&amp;Plan!D6&amp;", foi resolvido?")</f>
        <v>O seu Problema, Alto Custo de Produção, foi resolvido?</v>
      </c>
      <c r="D6" s="63"/>
      <c r="E6" s="1" t="s">
        <v>14</v>
      </c>
    </row>
    <row r="7" spans="1:5" s="71" customFormat="1" ht="15" customHeight="1" x14ac:dyDescent="0.25">
      <c r="A7" s="63"/>
    </row>
    <row r="8" spans="1:5" s="71" customFormat="1" ht="95.25" customHeight="1" x14ac:dyDescent="0.25">
      <c r="A8" s="63"/>
      <c r="C8" s="174" t="str">
        <f>IF(E6="","",IF(E6="Sim","Parabéns! O Ciclo PDCA é um modelo de gestão que visa a melhoria contínua. Agora você pode implantar o Ciclo PDCA como um processo de sua empresa, para isto, basta identificar um problema que precisa de melhoria e reiniciar o ciclo. ","Que pena. Verifique o que houve de errado e recomece o Ciclo PDCA clicando no botão PDCA no menu superior e defina novos planos de ação."))</f>
        <v>Que pena. Verifique o que houve de errado e recomece o Ciclo PDCA clicando no botão PDCA no menu superior e defina novos planos de ação.</v>
      </c>
      <c r="D8" s="174"/>
      <c r="E8" s="174"/>
    </row>
    <row r="9" spans="1:5" x14ac:dyDescent="0.25">
      <c r="A9" s="78"/>
    </row>
    <row r="10" spans="1:5" x14ac:dyDescent="0.25">
      <c r="A10" s="78"/>
    </row>
    <row r="11" spans="1:5" x14ac:dyDescent="0.25">
      <c r="A11" s="78"/>
    </row>
    <row r="12" spans="1:5" x14ac:dyDescent="0.25">
      <c r="A12" s="78"/>
    </row>
    <row r="13" spans="1:5" x14ac:dyDescent="0.25">
      <c r="A13" s="78"/>
    </row>
    <row r="14" spans="1:5" x14ac:dyDescent="0.25">
      <c r="A14" s="78"/>
    </row>
    <row r="15" spans="1:5" x14ac:dyDescent="0.25">
      <c r="A15" s="78"/>
    </row>
    <row r="16" spans="1:5" x14ac:dyDescent="0.25">
      <c r="A16" s="78"/>
    </row>
    <row r="17" spans="1:1" x14ac:dyDescent="0.25">
      <c r="A17" s="78"/>
    </row>
    <row r="18" spans="1:1" x14ac:dyDescent="0.25">
      <c r="A18" s="78"/>
    </row>
    <row r="19" spans="1:1" x14ac:dyDescent="0.25">
      <c r="A19" s="78"/>
    </row>
    <row r="20" spans="1:1" x14ac:dyDescent="0.25">
      <c r="A20" s="78"/>
    </row>
    <row r="21" spans="1:1" x14ac:dyDescent="0.25">
      <c r="A21" s="78"/>
    </row>
    <row r="22" spans="1:1" x14ac:dyDescent="0.25">
      <c r="A22" s="78"/>
    </row>
    <row r="23" spans="1:1" x14ac:dyDescent="0.25">
      <c r="A23" s="78"/>
    </row>
    <row r="24" spans="1:1" x14ac:dyDescent="0.25">
      <c r="A24" s="78"/>
    </row>
    <row r="25" spans="1:1" x14ac:dyDescent="0.25">
      <c r="A25" s="78"/>
    </row>
    <row r="26" spans="1:1" x14ac:dyDescent="0.25">
      <c r="A26" s="78"/>
    </row>
    <row r="27" spans="1:1" x14ac:dyDescent="0.25">
      <c r="A27" s="78"/>
    </row>
    <row r="28" spans="1:1" ht="14.25" customHeight="1" x14ac:dyDescent="0.25"/>
  </sheetData>
  <sheetProtection password="9084" sheet="1" objects="1" scenarios="1" selectLockedCells="1"/>
  <mergeCells count="1">
    <mergeCell ref="C8:E8"/>
  </mergeCells>
  <conditionalFormatting sqref="E6">
    <cfRule type="containsText" dxfId="23" priority="4" operator="containsText" text="Sim">
      <formula>NOT(ISERROR(SEARCH("Sim",E6)))</formula>
    </cfRule>
    <cfRule type="containsText" dxfId="22" priority="5" operator="containsText" text="Não">
      <formula>NOT(ISERROR(SEARCH("Não",E6)))</formula>
    </cfRule>
  </conditionalFormatting>
  <conditionalFormatting sqref="C8">
    <cfRule type="containsText" dxfId="21" priority="2" operator="containsText" text="Parabéns">
      <formula>NOT(ISERROR(SEARCH("Parabéns",C8)))</formula>
    </cfRule>
    <cfRule type="containsText" dxfId="20" priority="3" operator="containsText" text="Que pena">
      <formula>NOT(ISERROR(SEARCH("Que pena",C8)))</formula>
    </cfRule>
  </conditionalFormatting>
  <conditionalFormatting sqref="C6">
    <cfRule type="cellIs" dxfId="19" priority="1" operator="equal">
      <formula>""</formula>
    </cfRule>
  </conditionalFormatting>
  <dataValidations count="1">
    <dataValidation type="list" allowBlank="1" showInputMessage="1" showErrorMessage="1" sqref="E6">
      <formula1>"Sim,Não"</formula1>
    </dataValidation>
  </dataValidations>
  <pageMargins left="0.511811024" right="0.511811024" top="0.78740157499999996" bottom="0.78740157499999996" header="0.31496062000000002" footer="0.31496062000000002"/>
  <pageSetup paperSize="9" scale="4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6"/>
  <sheetViews>
    <sheetView showGridLines="0" zoomScaleNormal="100" workbookViewId="0">
      <selection sqref="A1:XFD1048576"/>
    </sheetView>
  </sheetViews>
  <sheetFormatPr defaultColWidth="8.85546875" defaultRowHeight="15" x14ac:dyDescent="0.25"/>
  <cols>
    <col min="1" max="1" width="1.7109375" style="100" customWidth="1"/>
    <col min="2" max="2" width="1.7109375" style="71" customWidth="1"/>
    <col min="3" max="3" width="17.85546875" style="71" customWidth="1"/>
    <col min="4" max="19" width="9.85546875" style="71" customWidth="1"/>
    <col min="20" max="20" width="6.7109375" style="71" customWidth="1"/>
    <col min="21" max="46" width="9.85546875" style="71" customWidth="1"/>
    <col min="47" max="56" width="8.85546875" style="71" customWidth="1"/>
    <col min="57" max="16384" width="8.85546875" style="71"/>
  </cols>
  <sheetData>
    <row r="1" spans="2:56" s="14" customFormat="1" ht="30" customHeight="1" x14ac:dyDescent="0.25"/>
    <row r="2" spans="2:56" s="16" customFormat="1" ht="24.95" customHeight="1" x14ac:dyDescent="0.25"/>
    <row r="3" spans="2:56" s="18" customFormat="1" ht="20.100000000000001" customHeight="1" x14ac:dyDescent="0.25"/>
    <row r="4" spans="2:56" s="100" customFormat="1" ht="23.25" x14ac:dyDescent="0.25">
      <c r="B4" s="31"/>
      <c r="C4" s="263" t="s">
        <v>20</v>
      </c>
      <c r="D4" s="264"/>
      <c r="E4" s="264"/>
      <c r="F4" s="264"/>
      <c r="G4" s="264"/>
      <c r="H4" s="265"/>
      <c r="I4" s="265"/>
      <c r="J4" s="265"/>
      <c r="K4" s="265"/>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row>
    <row r="5" spans="2:56" s="100" customFormat="1" ht="15" customHeight="1" x14ac:dyDescent="0.25">
      <c r="D5" s="266"/>
      <c r="E5" s="266"/>
      <c r="F5" s="266"/>
      <c r="G5" s="266"/>
      <c r="H5" s="266"/>
      <c r="I5" s="266"/>
      <c r="J5" s="266"/>
      <c r="K5" s="266"/>
      <c r="L5" s="266"/>
      <c r="M5" s="266"/>
    </row>
    <row r="6" spans="2:56" ht="18.75" customHeight="1" x14ac:dyDescent="0.25">
      <c r="C6" s="107" t="s">
        <v>124</v>
      </c>
      <c r="D6" s="107"/>
      <c r="E6" s="107"/>
      <c r="H6" s="23"/>
      <c r="I6" s="23"/>
      <c r="J6" s="23"/>
      <c r="K6" s="23"/>
      <c r="L6" s="23"/>
      <c r="M6" s="23"/>
      <c r="N6" s="23"/>
      <c r="O6" s="23"/>
      <c r="P6" s="23"/>
      <c r="Q6" s="23"/>
    </row>
    <row r="7" spans="2:56" ht="18.75" customHeight="1" x14ac:dyDescent="0.25">
      <c r="C7" s="107"/>
      <c r="D7" s="107"/>
      <c r="E7" s="107"/>
      <c r="H7" s="23"/>
      <c r="I7" s="23"/>
      <c r="J7" s="23"/>
      <c r="K7" s="23"/>
      <c r="L7" s="23"/>
      <c r="M7" s="23"/>
      <c r="N7" s="23"/>
      <c r="O7" s="23"/>
      <c r="P7" s="23"/>
      <c r="Q7" s="23"/>
    </row>
    <row r="8" spans="2:56" ht="18.75" customHeight="1" x14ac:dyDescent="0.25">
      <c r="H8" s="23"/>
      <c r="I8" s="23"/>
      <c r="J8" s="23"/>
      <c r="K8" s="23"/>
      <c r="L8" s="23"/>
      <c r="M8" s="23"/>
      <c r="N8" s="23"/>
      <c r="O8" s="23"/>
      <c r="P8" s="23"/>
      <c r="Q8" s="23"/>
    </row>
    <row r="9" spans="2:56" ht="18.75" customHeight="1" x14ac:dyDescent="0.25">
      <c r="H9" s="23"/>
      <c r="I9" s="23"/>
      <c r="J9" s="23"/>
      <c r="K9" s="23"/>
      <c r="L9" s="23"/>
      <c r="M9" s="23"/>
      <c r="N9" s="23"/>
      <c r="O9" s="23"/>
      <c r="P9" s="23"/>
      <c r="Q9" s="23"/>
    </row>
    <row r="10" spans="2:56" ht="18.75" customHeight="1" x14ac:dyDescent="0.25">
      <c r="H10" s="23"/>
      <c r="I10" s="23"/>
      <c r="J10" s="23"/>
      <c r="K10" s="23"/>
      <c r="L10" s="23"/>
      <c r="M10" s="23"/>
      <c r="N10" s="23"/>
      <c r="O10" s="23"/>
      <c r="P10" s="23"/>
      <c r="Q10" s="23"/>
    </row>
    <row r="11" spans="2:56" ht="18.75" customHeight="1" x14ac:dyDescent="0.25">
      <c r="H11" s="23"/>
      <c r="I11" s="23"/>
      <c r="J11" s="23"/>
      <c r="K11" s="23"/>
      <c r="L11" s="23"/>
      <c r="M11" s="23"/>
      <c r="N11" s="23"/>
      <c r="O11" s="23"/>
      <c r="P11" s="23"/>
      <c r="Q11" s="23"/>
    </row>
    <row r="12" spans="2:56" ht="18.75" customHeight="1" x14ac:dyDescent="0.25">
      <c r="H12" s="23"/>
      <c r="I12" s="23"/>
      <c r="J12" s="23"/>
      <c r="K12" s="23"/>
      <c r="L12" s="23"/>
      <c r="M12" s="23"/>
      <c r="N12" s="23"/>
      <c r="O12" s="23"/>
      <c r="P12" s="23"/>
      <c r="Q12" s="23"/>
    </row>
    <row r="13" spans="2:56" ht="18.75" customHeight="1" x14ac:dyDescent="0.25">
      <c r="H13" s="23"/>
      <c r="I13" s="23"/>
      <c r="J13" s="23"/>
      <c r="K13" s="23"/>
      <c r="L13" s="23"/>
      <c r="M13" s="23"/>
      <c r="N13" s="23"/>
      <c r="O13" s="23"/>
      <c r="P13" s="23"/>
      <c r="Q13" s="23"/>
    </row>
    <row r="14" spans="2:56" ht="18.75" customHeight="1" x14ac:dyDescent="0.25">
      <c r="H14" s="23"/>
      <c r="I14" s="23"/>
      <c r="J14" s="23"/>
      <c r="K14" s="23"/>
      <c r="L14" s="23"/>
      <c r="M14" s="23"/>
      <c r="N14" s="23"/>
      <c r="O14" s="23"/>
      <c r="P14" s="23"/>
      <c r="Q14" s="23"/>
    </row>
    <row r="15" spans="2:56" ht="18.75" customHeight="1" x14ac:dyDescent="0.25">
      <c r="H15" s="23"/>
      <c r="I15" s="23"/>
      <c r="J15" s="23"/>
      <c r="K15" s="23"/>
      <c r="L15" s="23"/>
      <c r="M15" s="23"/>
      <c r="N15" s="23"/>
      <c r="O15" s="23"/>
      <c r="P15" s="23"/>
      <c r="Q15" s="23"/>
    </row>
    <row r="16" spans="2:56" ht="18.75" customHeight="1" x14ac:dyDescent="0.25">
      <c r="H16" s="23"/>
      <c r="I16" s="23"/>
      <c r="J16" s="23"/>
      <c r="K16" s="23"/>
      <c r="L16" s="23"/>
      <c r="M16" s="23"/>
      <c r="N16" s="23"/>
      <c r="O16" s="23"/>
      <c r="P16" s="23"/>
      <c r="Q16" s="23"/>
    </row>
    <row r="17" spans="1:46" ht="18.75" customHeight="1" x14ac:dyDescent="0.25">
      <c r="H17" s="23"/>
      <c r="I17" s="23"/>
      <c r="J17" s="23"/>
      <c r="K17" s="23"/>
      <c r="L17" s="23"/>
      <c r="M17" s="23"/>
      <c r="N17" s="23"/>
      <c r="O17" s="23"/>
      <c r="P17" s="23"/>
      <c r="Q17" s="23"/>
    </row>
    <row r="18" spans="1:46" ht="18.75" customHeight="1" x14ac:dyDescent="0.25">
      <c r="H18" s="23"/>
      <c r="I18" s="23"/>
      <c r="J18" s="23"/>
      <c r="K18" s="23"/>
      <c r="L18" s="23"/>
      <c r="M18" s="23"/>
      <c r="N18" s="23"/>
      <c r="O18" s="23"/>
      <c r="P18" s="23"/>
      <c r="Q18" s="23"/>
    </row>
    <row r="19" spans="1:46" ht="18.75" customHeight="1" x14ac:dyDescent="0.25">
      <c r="H19" s="23"/>
      <c r="I19" s="23"/>
      <c r="J19" s="23"/>
      <c r="K19" s="23"/>
      <c r="L19" s="23"/>
      <c r="M19" s="23"/>
      <c r="N19" s="23"/>
      <c r="O19" s="23"/>
      <c r="P19" s="23"/>
      <c r="Q19" s="23"/>
    </row>
    <row r="20" spans="1:46" ht="18.75" customHeight="1" x14ac:dyDescent="0.25">
      <c r="H20" s="23"/>
      <c r="I20" s="23"/>
      <c r="J20" s="23"/>
      <c r="K20" s="23"/>
      <c r="L20" s="23"/>
      <c r="M20" s="23"/>
      <c r="N20" s="23"/>
      <c r="O20" s="23"/>
      <c r="P20" s="23"/>
      <c r="Q20" s="23"/>
    </row>
    <row r="21" spans="1:46" ht="18.75" customHeight="1" x14ac:dyDescent="0.25">
      <c r="H21" s="23"/>
      <c r="I21" s="23"/>
      <c r="J21" s="23"/>
      <c r="K21" s="23"/>
      <c r="L21" s="23"/>
      <c r="M21" s="23"/>
      <c r="N21" s="23"/>
      <c r="O21" s="23"/>
      <c r="P21" s="23"/>
      <c r="Q21" s="23"/>
    </row>
    <row r="22" spans="1:46" ht="15" customHeight="1" x14ac:dyDescent="0.25"/>
    <row r="23" spans="1:46" ht="15" customHeight="1" x14ac:dyDescent="0.25"/>
    <row r="24" spans="1:46" ht="15" customHeight="1" x14ac:dyDescent="0.25">
      <c r="B24" s="95"/>
    </row>
    <row r="25" spans="1:46" ht="15" customHeight="1" x14ac:dyDescent="0.25">
      <c r="S25" s="267"/>
      <c r="T25" s="267"/>
      <c r="U25" s="267"/>
      <c r="V25" s="267"/>
      <c r="W25" s="267"/>
      <c r="X25" s="267"/>
      <c r="Y25" s="267"/>
      <c r="Z25" s="267"/>
      <c r="AA25" s="267"/>
      <c r="AB25" s="267"/>
      <c r="AC25" s="267"/>
      <c r="AD25" s="267"/>
      <c r="AE25" s="267"/>
      <c r="AF25" s="267"/>
      <c r="AG25" s="267"/>
      <c r="AH25" s="267"/>
      <c r="AI25" s="267"/>
      <c r="AJ25" s="267"/>
      <c r="AK25" s="267"/>
      <c r="AL25" s="267"/>
      <c r="AO25" s="23" t="s">
        <v>15</v>
      </c>
      <c r="AP25" s="23" t="s">
        <v>16</v>
      </c>
      <c r="AQ25" s="23"/>
      <c r="AR25" s="23"/>
      <c r="AS25" s="23"/>
      <c r="AT25" s="23"/>
    </row>
    <row r="26" spans="1:46" ht="15" customHeight="1" x14ac:dyDescent="0.25">
      <c r="S26" s="267"/>
      <c r="T26" s="267"/>
      <c r="U26" s="267"/>
      <c r="V26" s="267"/>
      <c r="W26" s="267"/>
      <c r="X26" s="267"/>
      <c r="Y26" s="267"/>
      <c r="Z26" s="267"/>
      <c r="AA26" s="267"/>
      <c r="AB26" s="267"/>
      <c r="AC26" s="267"/>
      <c r="AD26" s="267"/>
      <c r="AE26" s="267"/>
      <c r="AF26" s="267"/>
      <c r="AG26" s="267"/>
      <c r="AH26" s="267"/>
      <c r="AI26" s="267"/>
      <c r="AJ26" s="267"/>
      <c r="AK26" s="267"/>
      <c r="AL26" s="267"/>
      <c r="AO26" s="97"/>
      <c r="AP26" s="97"/>
      <c r="AQ26" s="23"/>
      <c r="AR26" s="23"/>
      <c r="AS26" s="23"/>
      <c r="AT26" s="23"/>
    </row>
    <row r="27" spans="1:46" ht="15" customHeight="1" x14ac:dyDescent="0.25">
      <c r="S27" s="267"/>
      <c r="T27" s="267"/>
      <c r="U27" s="267"/>
      <c r="V27" s="267"/>
      <c r="W27" s="267"/>
      <c r="X27" s="267"/>
      <c r="Y27" s="267"/>
      <c r="Z27" s="267"/>
      <c r="AA27" s="267"/>
      <c r="AB27" s="267"/>
      <c r="AC27" s="267"/>
      <c r="AD27" s="267"/>
      <c r="AE27" s="267"/>
      <c r="AF27" s="267"/>
      <c r="AG27" s="267"/>
      <c r="AH27" s="267"/>
      <c r="AI27" s="267"/>
      <c r="AJ27" s="267"/>
      <c r="AK27" s="267"/>
      <c r="AL27" s="267"/>
      <c r="AO27" s="23"/>
      <c r="AP27" s="23"/>
      <c r="AQ27" s="23"/>
      <c r="AR27" s="23"/>
      <c r="AS27" s="23"/>
      <c r="AT27" s="23"/>
    </row>
    <row r="28" spans="1:46" ht="15" customHeight="1" x14ac:dyDescent="0.25">
      <c r="S28" s="268"/>
      <c r="T28" s="268"/>
      <c r="U28" s="268"/>
      <c r="V28" s="268"/>
      <c r="W28" s="268"/>
      <c r="X28" s="268"/>
      <c r="Y28" s="268"/>
      <c r="Z28" s="268"/>
      <c r="AA28" s="268"/>
      <c r="AB28" s="268"/>
      <c r="AC28" s="268"/>
      <c r="AD28" s="268"/>
      <c r="AE28" s="268"/>
      <c r="AF28" s="268"/>
      <c r="AG28" s="268"/>
      <c r="AH28" s="268"/>
      <c r="AI28" s="268"/>
      <c r="AJ28" s="268"/>
      <c r="AK28" s="268"/>
      <c r="AL28" s="268"/>
      <c r="AO28" s="23"/>
      <c r="AP28" s="23"/>
      <c r="AQ28" s="23"/>
      <c r="AR28" s="23"/>
      <c r="AS28" s="23"/>
      <c r="AT28" s="23"/>
    </row>
    <row r="29" spans="1:46" ht="15" customHeight="1" x14ac:dyDescent="0.25">
      <c r="S29" s="268"/>
      <c r="T29" s="268"/>
      <c r="U29" s="268"/>
      <c r="V29" s="268"/>
      <c r="W29" s="268"/>
      <c r="X29" s="268"/>
      <c r="Y29" s="268"/>
      <c r="Z29" s="268"/>
      <c r="AA29" s="268"/>
      <c r="AB29" s="268"/>
      <c r="AC29" s="268"/>
      <c r="AD29" s="268"/>
      <c r="AE29" s="268"/>
      <c r="AF29" s="268"/>
      <c r="AG29" s="268"/>
      <c r="AH29" s="268"/>
      <c r="AI29" s="268"/>
      <c r="AJ29" s="268"/>
      <c r="AK29" s="268"/>
      <c r="AL29" s="268"/>
      <c r="AO29" s="23"/>
      <c r="AP29" s="23"/>
      <c r="AQ29" s="23"/>
      <c r="AR29" s="23"/>
      <c r="AS29" s="23"/>
      <c r="AT29" s="23"/>
    </row>
    <row r="30" spans="1:46" s="79" customFormat="1" ht="15" customHeight="1" x14ac:dyDescent="0.25">
      <c r="A30" s="163"/>
      <c r="C30" s="71"/>
      <c r="D30" s="71"/>
      <c r="E30" s="71"/>
      <c r="F30" s="71"/>
      <c r="G30" s="71"/>
      <c r="H30" s="71"/>
      <c r="I30" s="71"/>
      <c r="J30" s="71"/>
      <c r="K30" s="71"/>
      <c r="L30" s="71"/>
      <c r="M30" s="71"/>
      <c r="N30" s="71"/>
      <c r="O30" s="71"/>
      <c r="P30" s="71"/>
      <c r="Q30" s="71"/>
      <c r="R30" s="71"/>
      <c r="S30" s="268"/>
      <c r="T30" s="268"/>
      <c r="U30" s="268"/>
      <c r="V30" s="268"/>
      <c r="W30" s="268"/>
      <c r="X30" s="268"/>
      <c r="Y30" s="268"/>
      <c r="Z30" s="268"/>
      <c r="AA30" s="268"/>
      <c r="AB30" s="268"/>
      <c r="AC30" s="268"/>
      <c r="AD30" s="268"/>
      <c r="AE30" s="268"/>
      <c r="AF30" s="268"/>
      <c r="AG30" s="268"/>
      <c r="AH30" s="268"/>
      <c r="AI30" s="268"/>
      <c r="AJ30" s="268"/>
      <c r="AK30" s="268"/>
      <c r="AL30" s="268"/>
      <c r="AM30" s="71"/>
      <c r="AN30" s="71"/>
      <c r="AO30" s="71"/>
      <c r="AP30" s="71"/>
      <c r="AQ30" s="71"/>
      <c r="AR30" s="71"/>
      <c r="AS30" s="71"/>
      <c r="AT30" s="71"/>
    </row>
    <row r="31" spans="1:46" s="79" customFormat="1" ht="15" customHeight="1" x14ac:dyDescent="0.25">
      <c r="A31" s="163"/>
      <c r="C31" s="71"/>
      <c r="D31" s="71"/>
      <c r="E31" s="71"/>
      <c r="F31" s="71"/>
      <c r="G31" s="71"/>
      <c r="H31" s="71"/>
      <c r="I31" s="71"/>
      <c r="J31" s="71"/>
      <c r="K31" s="71"/>
      <c r="L31" s="71"/>
      <c r="M31" s="71"/>
      <c r="N31" s="71"/>
      <c r="O31" s="71"/>
      <c r="P31" s="71"/>
      <c r="Q31" s="71"/>
      <c r="R31" s="71"/>
      <c r="S31" s="269"/>
      <c r="T31" s="269"/>
      <c r="U31" s="269"/>
      <c r="V31" s="269"/>
      <c r="W31" s="269"/>
      <c r="X31" s="269"/>
      <c r="Y31" s="269"/>
      <c r="Z31" s="269"/>
      <c r="AA31" s="269"/>
      <c r="AB31" s="269"/>
      <c r="AC31" s="269"/>
      <c r="AD31" s="269"/>
      <c r="AE31" s="269"/>
      <c r="AF31" s="269"/>
      <c r="AG31" s="269"/>
      <c r="AH31" s="269"/>
      <c r="AI31" s="269"/>
      <c r="AJ31" s="269"/>
      <c r="AK31" s="269"/>
      <c r="AL31" s="269"/>
      <c r="AM31" s="71"/>
      <c r="AN31" s="71"/>
      <c r="AO31" s="71"/>
      <c r="AP31" s="71"/>
      <c r="AQ31" s="71"/>
      <c r="AR31" s="71"/>
      <c r="AS31" s="71"/>
      <c r="AT31" s="71"/>
    </row>
    <row r="32" spans="1:46" ht="15" customHeight="1" x14ac:dyDescent="0.25">
      <c r="S32" s="269"/>
      <c r="T32" s="269"/>
      <c r="U32" s="269"/>
      <c r="V32" s="269"/>
      <c r="W32" s="269"/>
      <c r="X32" s="269"/>
      <c r="Y32" s="269"/>
      <c r="Z32" s="269"/>
      <c r="AA32" s="269"/>
      <c r="AB32" s="269"/>
      <c r="AC32" s="269"/>
      <c r="AD32" s="269"/>
      <c r="AE32" s="269"/>
      <c r="AF32" s="269"/>
      <c r="AG32" s="269"/>
      <c r="AH32" s="269"/>
      <c r="AI32" s="269"/>
      <c r="AJ32" s="269"/>
      <c r="AK32" s="269"/>
      <c r="AL32" s="269"/>
    </row>
    <row r="33" spans="3:38" ht="15" customHeight="1" x14ac:dyDescent="0.25">
      <c r="S33" s="269"/>
      <c r="T33" s="269"/>
      <c r="U33" s="269"/>
      <c r="V33" s="269"/>
      <c r="W33" s="269"/>
      <c r="X33" s="269"/>
      <c r="Y33" s="269"/>
      <c r="Z33" s="269"/>
      <c r="AA33" s="269"/>
      <c r="AB33" s="269"/>
      <c r="AC33" s="269"/>
      <c r="AD33" s="269"/>
      <c r="AE33" s="269"/>
      <c r="AF33" s="269"/>
      <c r="AG33" s="269"/>
      <c r="AH33" s="269"/>
      <c r="AI33" s="269"/>
      <c r="AJ33" s="269"/>
      <c r="AK33" s="269"/>
      <c r="AL33" s="269"/>
    </row>
    <row r="34" spans="3:38" ht="15" customHeight="1" x14ac:dyDescent="0.25">
      <c r="S34" s="269"/>
      <c r="T34" s="269"/>
      <c r="U34" s="269"/>
      <c r="V34" s="269"/>
      <c r="W34" s="269"/>
      <c r="X34" s="269"/>
      <c r="Y34" s="269"/>
      <c r="Z34" s="269"/>
      <c r="AA34" s="269"/>
      <c r="AB34" s="269"/>
      <c r="AC34" s="269"/>
      <c r="AD34" s="269"/>
      <c r="AE34" s="269"/>
      <c r="AF34" s="269"/>
      <c r="AG34" s="269"/>
      <c r="AH34" s="269"/>
      <c r="AI34" s="269"/>
      <c r="AJ34" s="269"/>
      <c r="AK34" s="269"/>
      <c r="AL34" s="269"/>
    </row>
    <row r="35" spans="3:38" ht="15" customHeight="1" x14ac:dyDescent="0.25">
      <c r="S35" s="269"/>
      <c r="T35" s="269"/>
      <c r="U35" s="269"/>
      <c r="V35" s="269"/>
      <c r="W35" s="269"/>
      <c r="X35" s="269"/>
      <c r="Y35" s="269"/>
      <c r="Z35" s="269"/>
      <c r="AA35" s="269"/>
      <c r="AB35" s="269"/>
      <c r="AC35" s="269"/>
      <c r="AD35" s="269"/>
      <c r="AE35" s="269"/>
      <c r="AF35" s="269"/>
      <c r="AG35" s="269"/>
      <c r="AH35" s="269"/>
      <c r="AI35" s="269"/>
      <c r="AJ35" s="269"/>
      <c r="AK35" s="269"/>
      <c r="AL35" s="269"/>
    </row>
    <row r="44" spans="3:38" ht="15" customHeight="1" x14ac:dyDescent="0.25">
      <c r="C44" s="107" t="s">
        <v>125</v>
      </c>
      <c r="D44" s="107"/>
      <c r="E44" s="107"/>
    </row>
    <row r="45" spans="3:38" ht="15" customHeight="1" x14ac:dyDescent="0.25">
      <c r="C45" s="107"/>
      <c r="D45" s="107"/>
      <c r="E45" s="107"/>
    </row>
    <row r="46" spans="3:38" ht="15" customHeight="1" x14ac:dyDescent="0.25">
      <c r="C46" s="107"/>
      <c r="D46" s="107"/>
      <c r="E46" s="107"/>
    </row>
  </sheetData>
  <sheetProtection password="9084" sheet="1" objects="1" scenarios="1" selectLockedCells="1"/>
  <mergeCells count="1">
    <mergeCell ref="S25:AL27"/>
  </mergeCells>
  <dataValidations count="1">
    <dataValidation type="list" allowBlank="1" showInputMessage="1" showErrorMessage="1" sqref="Q23:S35 AK23:AL35 T23:AJ27 T32:AJ35">
      <formula1>"Sim, Não"</formula1>
    </dataValidation>
  </dataValidations>
  <pageMargins left="0.23622047244094491" right="0.23622047244094491" top="0.74803149606299213" bottom="0.74803149606299213" header="0.31496062992125984" footer="0.31496062992125984"/>
  <pageSetup paperSize="9" scale="75" fitToHeight="100" orientation="landscape" r:id="rId1"/>
  <rowBreaks count="1" manualBreakCount="1">
    <brk id="43" min="2"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4</vt:i4>
      </vt:variant>
    </vt:vector>
  </HeadingPairs>
  <TitlesOfParts>
    <vt:vector size="16" baseType="lpstr">
      <vt:lpstr>Ini</vt:lpstr>
      <vt:lpstr>Duv</vt:lpstr>
      <vt:lpstr>Sug</vt:lpstr>
      <vt:lpstr>Sou</vt:lpstr>
      <vt:lpstr>Plan</vt:lpstr>
      <vt:lpstr>Do</vt:lpstr>
      <vt:lpstr>Che</vt:lpstr>
      <vt:lpstr>Act</vt:lpstr>
      <vt:lpstr>Gra</vt:lpstr>
      <vt:lpstr>Ale</vt:lpstr>
      <vt:lpstr>Rel</vt:lpstr>
      <vt:lpstr>Das</vt:lpstr>
      <vt:lpstr>Ale!Area_de_impressao</vt:lpstr>
      <vt:lpstr>Das!Area_de_impressao</vt:lpstr>
      <vt:lpstr>Gra!Area_de_impressao</vt:lpstr>
      <vt:lpstr>Rel!Area_de_impressao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Ciclo PDCA 3.0 - LUZ</dc:title>
  <dc:creator>Leonardo Xavier</dc:creator>
  <cp:lastModifiedBy>Flavio Dias de Souza</cp:lastModifiedBy>
  <cp:lastPrinted>2022-12-21T12:58:35Z</cp:lastPrinted>
  <dcterms:created xsi:type="dcterms:W3CDTF">2013-12-16T17:36:37Z</dcterms:created>
  <dcterms:modified xsi:type="dcterms:W3CDTF">2022-12-21T14:23:06Z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TC019926229991</vt:lpwstr>
  </property>
</Properties>
</file>