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20490" windowHeight="7545" tabRatio="0"/>
  </bookViews>
  <sheets>
    <sheet name="Ini" sheetId="1" r:id="rId1"/>
    <sheet name="Duv" sheetId="2" r:id="rId2"/>
    <sheet name="Sug" sheetId="18" r:id="rId3"/>
    <sheet name="Sou" sheetId="19" r:id="rId4"/>
    <sheet name="CadCat" sheetId="8" r:id="rId5"/>
    <sheet name="CadSet" sheetId="17" r:id="rId6"/>
    <sheet name="CadEqu" sheetId="6" r:id="rId7"/>
    <sheet name="CadFal" sheetId="10" r:id="rId8"/>
    <sheet name="Lan" sheetId="9" r:id="rId9"/>
    <sheet name="Res" sheetId="12" r:id="rId10"/>
    <sheet name="Gra" sheetId="13" r:id="rId11"/>
    <sheet name="Ind" sheetId="16" r:id="rId12"/>
    <sheet name="Rel" sheetId="14" r:id="rId13"/>
    <sheet name="Das" sheetId="15" r:id="rId14"/>
  </sheets>
  <definedNames>
    <definedName name="__xlcn.WorksheetConnection_ProC5H561" localSheetId="5" hidden="1">#REF!</definedName>
    <definedName name="__xlcn.WorksheetConnection_ProC5H561" hidden="1">#REF!</definedName>
    <definedName name="_xlnm.Print_Area" localSheetId="11">Ind!$B$6:$I$510</definedName>
    <definedName name="_xlnm.Print_Area" localSheetId="8">tbLancamentos[#All]</definedName>
    <definedName name="_xlnm.Print_Area" localSheetId="12">Rel!$B$6:$O$280</definedName>
    <definedName name="_xlnm.Print_Titles" localSheetId="11">Ind!$10:$10</definedName>
    <definedName name="_xlnm.Print_Titles" localSheetId="8">Lan!$6:$6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6" i="9" l="1"/>
  <c r="D266" i="9"/>
  <c r="H266" i="9"/>
  <c r="J266" i="9" s="1"/>
  <c r="I266" i="9"/>
  <c r="K266" i="9"/>
  <c r="M266" i="9"/>
  <c r="B239" i="14" l="1"/>
  <c r="C239" i="14"/>
  <c r="D239" i="14"/>
  <c r="E239" i="14"/>
  <c r="F239" i="14"/>
  <c r="G239" i="14"/>
  <c r="H239" i="14"/>
  <c r="I239" i="14"/>
  <c r="J239" i="14"/>
  <c r="K239" i="14"/>
  <c r="L239" i="14"/>
  <c r="M239" i="14"/>
  <c r="N239" i="14"/>
  <c r="O239" i="14"/>
  <c r="B250" i="14"/>
  <c r="B196" i="14"/>
  <c r="C196" i="14"/>
  <c r="D196" i="14"/>
  <c r="E196" i="14"/>
  <c r="F196" i="14"/>
  <c r="G196" i="14"/>
  <c r="H196" i="14"/>
  <c r="I196" i="14"/>
  <c r="J196" i="14"/>
  <c r="K196" i="14"/>
  <c r="L196" i="14"/>
  <c r="M196" i="14"/>
  <c r="N196" i="14"/>
  <c r="O196" i="14"/>
  <c r="B207" i="14"/>
  <c r="N21" i="15" l="1"/>
  <c r="N22" i="15"/>
  <c r="N23" i="15"/>
  <c r="N24" i="15"/>
  <c r="N25" i="15"/>
  <c r="N26" i="15"/>
  <c r="N27" i="15"/>
  <c r="N28" i="15"/>
  <c r="N29" i="15"/>
  <c r="N20" i="15"/>
  <c r="L506" i="6"/>
  <c r="L505" i="6"/>
  <c r="L504" i="6"/>
  <c r="L503" i="6"/>
  <c r="L502" i="6"/>
  <c r="L501" i="6"/>
  <c r="L500" i="6"/>
  <c r="L499" i="6"/>
  <c r="L498" i="6"/>
  <c r="L497" i="6"/>
  <c r="L496" i="6"/>
  <c r="L495" i="6"/>
  <c r="L494" i="6"/>
  <c r="L493" i="6"/>
  <c r="L492" i="6"/>
  <c r="L491" i="6"/>
  <c r="L490" i="6"/>
  <c r="L489" i="6"/>
  <c r="L488" i="6"/>
  <c r="L487" i="6"/>
  <c r="L486" i="6"/>
  <c r="L485" i="6"/>
  <c r="L484" i="6"/>
  <c r="L483" i="6"/>
  <c r="L482" i="6"/>
  <c r="L481" i="6"/>
  <c r="L480" i="6"/>
  <c r="L479" i="6"/>
  <c r="L478" i="6"/>
  <c r="L477" i="6"/>
  <c r="L476" i="6"/>
  <c r="L475" i="6"/>
  <c r="L474" i="6"/>
  <c r="L473" i="6"/>
  <c r="L472" i="6"/>
  <c r="L471" i="6"/>
  <c r="L470" i="6"/>
  <c r="L469" i="6"/>
  <c r="L468" i="6"/>
  <c r="L467" i="6"/>
  <c r="L466" i="6"/>
  <c r="L465" i="6"/>
  <c r="L464" i="6"/>
  <c r="L463" i="6"/>
  <c r="L462" i="6"/>
  <c r="L461" i="6"/>
  <c r="L460" i="6"/>
  <c r="L459" i="6"/>
  <c r="L458" i="6"/>
  <c r="L457" i="6"/>
  <c r="L456" i="6"/>
  <c r="L455" i="6"/>
  <c r="L454" i="6"/>
  <c r="L453" i="6"/>
  <c r="L452" i="6"/>
  <c r="L451" i="6"/>
  <c r="L450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35" i="6"/>
  <c r="L434" i="6"/>
  <c r="L433" i="6"/>
  <c r="L432" i="6"/>
  <c r="L431" i="6"/>
  <c r="L430" i="6"/>
  <c r="L429" i="6"/>
  <c r="L428" i="6"/>
  <c r="L427" i="6"/>
  <c r="L426" i="6"/>
  <c r="L425" i="6"/>
  <c r="L424" i="6"/>
  <c r="L423" i="6"/>
  <c r="L422" i="6"/>
  <c r="L421" i="6"/>
  <c r="L420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11" i="6"/>
  <c r="L10" i="6"/>
  <c r="L9" i="6"/>
  <c r="L8" i="6"/>
  <c r="L7" i="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D443" i="16"/>
  <c r="D444" i="16"/>
  <c r="D445" i="16"/>
  <c r="D446" i="16"/>
  <c r="D447" i="16"/>
  <c r="D448" i="16"/>
  <c r="D449" i="16"/>
  <c r="D450" i="16"/>
  <c r="D451" i="16"/>
  <c r="D452" i="16"/>
  <c r="D453" i="16"/>
  <c r="D454" i="16"/>
  <c r="D455" i="16"/>
  <c r="D456" i="16"/>
  <c r="D457" i="16"/>
  <c r="D458" i="16"/>
  <c r="D459" i="16"/>
  <c r="D460" i="16"/>
  <c r="D461" i="16"/>
  <c r="D462" i="16"/>
  <c r="D463" i="16"/>
  <c r="D464" i="16"/>
  <c r="D465" i="16"/>
  <c r="D466" i="16"/>
  <c r="D467" i="16"/>
  <c r="D468" i="16"/>
  <c r="D469" i="16"/>
  <c r="D470" i="16"/>
  <c r="D471" i="16"/>
  <c r="D472" i="16"/>
  <c r="D473" i="16"/>
  <c r="D474" i="16"/>
  <c r="D475" i="16"/>
  <c r="D476" i="16"/>
  <c r="D477" i="16"/>
  <c r="D478" i="16"/>
  <c r="D479" i="16"/>
  <c r="D480" i="16"/>
  <c r="D481" i="16"/>
  <c r="D482" i="16"/>
  <c r="D483" i="16"/>
  <c r="D484" i="16"/>
  <c r="D485" i="16"/>
  <c r="D486" i="16"/>
  <c r="D487" i="16"/>
  <c r="D488" i="16"/>
  <c r="D489" i="16"/>
  <c r="D490" i="16"/>
  <c r="D491" i="16"/>
  <c r="D492" i="16"/>
  <c r="D493" i="16"/>
  <c r="D494" i="16"/>
  <c r="D495" i="16"/>
  <c r="D496" i="16"/>
  <c r="D497" i="16"/>
  <c r="D498" i="16"/>
  <c r="D499" i="16"/>
  <c r="D500" i="16"/>
  <c r="D501" i="16"/>
  <c r="D502" i="16"/>
  <c r="D503" i="16"/>
  <c r="D504" i="16"/>
  <c r="D505" i="16"/>
  <c r="D506" i="16"/>
  <c r="D507" i="16"/>
  <c r="D508" i="16"/>
  <c r="D509" i="16"/>
  <c r="D510" i="16"/>
  <c r="C11" i="16"/>
  <c r="C12" i="16"/>
  <c r="C13" i="16"/>
  <c r="C14" i="16"/>
  <c r="C15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C264" i="16"/>
  <c r="C265" i="16"/>
  <c r="C266" i="16"/>
  <c r="C267" i="16"/>
  <c r="C268" i="16"/>
  <c r="C269" i="16"/>
  <c r="C270" i="16"/>
  <c r="C271" i="16"/>
  <c r="C272" i="16"/>
  <c r="C273" i="16"/>
  <c r="C274" i="16"/>
  <c r="C275" i="16"/>
  <c r="C276" i="16"/>
  <c r="C277" i="16"/>
  <c r="C278" i="16"/>
  <c r="C279" i="16"/>
  <c r="C280" i="16"/>
  <c r="C281" i="16"/>
  <c r="C282" i="16"/>
  <c r="C283" i="16"/>
  <c r="C284" i="16"/>
  <c r="C285" i="16"/>
  <c r="C286" i="16"/>
  <c r="C287" i="16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7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C328" i="16"/>
  <c r="C329" i="16"/>
  <c r="C330" i="16"/>
  <c r="C331" i="16"/>
  <c r="C332" i="16"/>
  <c r="C333" i="16"/>
  <c r="C334" i="16"/>
  <c r="C335" i="16"/>
  <c r="C336" i="16"/>
  <c r="C337" i="16"/>
  <c r="C338" i="16"/>
  <c r="C339" i="16"/>
  <c r="C340" i="16"/>
  <c r="C341" i="16"/>
  <c r="C342" i="16"/>
  <c r="C343" i="16"/>
  <c r="C344" i="16"/>
  <c r="C345" i="16"/>
  <c r="C346" i="16"/>
  <c r="C347" i="16"/>
  <c r="C348" i="16"/>
  <c r="C349" i="16"/>
  <c r="C350" i="16"/>
  <c r="C351" i="16"/>
  <c r="C352" i="16"/>
  <c r="C353" i="16"/>
  <c r="C354" i="16"/>
  <c r="C355" i="16"/>
  <c r="C356" i="16"/>
  <c r="C357" i="16"/>
  <c r="C358" i="16"/>
  <c r="C359" i="16"/>
  <c r="C360" i="16"/>
  <c r="C361" i="16"/>
  <c r="C362" i="16"/>
  <c r="C363" i="16"/>
  <c r="C364" i="16"/>
  <c r="C365" i="16"/>
  <c r="C366" i="16"/>
  <c r="C367" i="16"/>
  <c r="C368" i="16"/>
  <c r="C369" i="16"/>
  <c r="C370" i="16"/>
  <c r="C371" i="16"/>
  <c r="C372" i="16"/>
  <c r="C373" i="16"/>
  <c r="C374" i="16"/>
  <c r="C375" i="16"/>
  <c r="C376" i="16"/>
  <c r="C377" i="16"/>
  <c r="C378" i="16"/>
  <c r="C379" i="16"/>
  <c r="C380" i="16"/>
  <c r="C381" i="16"/>
  <c r="C382" i="16"/>
  <c r="C383" i="16"/>
  <c r="C384" i="16"/>
  <c r="C385" i="16"/>
  <c r="C386" i="16"/>
  <c r="C387" i="16"/>
  <c r="C388" i="16"/>
  <c r="C389" i="16"/>
  <c r="C390" i="16"/>
  <c r="C391" i="16"/>
  <c r="C392" i="16"/>
  <c r="C393" i="16"/>
  <c r="C394" i="16"/>
  <c r="C395" i="16"/>
  <c r="C396" i="16"/>
  <c r="C397" i="16"/>
  <c r="C398" i="16"/>
  <c r="C399" i="16"/>
  <c r="C400" i="16"/>
  <c r="C401" i="16"/>
  <c r="C402" i="16"/>
  <c r="C403" i="16"/>
  <c r="C404" i="16"/>
  <c r="C405" i="16"/>
  <c r="C406" i="16"/>
  <c r="C407" i="16"/>
  <c r="C408" i="16"/>
  <c r="C409" i="16"/>
  <c r="C410" i="16"/>
  <c r="C411" i="16"/>
  <c r="C412" i="16"/>
  <c r="C413" i="16"/>
  <c r="C414" i="16"/>
  <c r="C415" i="16"/>
  <c r="C416" i="16"/>
  <c r="C417" i="16"/>
  <c r="C418" i="16"/>
  <c r="C419" i="16"/>
  <c r="C420" i="16"/>
  <c r="C421" i="16"/>
  <c r="C422" i="16"/>
  <c r="C423" i="16"/>
  <c r="C424" i="16"/>
  <c r="C425" i="16"/>
  <c r="C426" i="16"/>
  <c r="C427" i="16"/>
  <c r="C428" i="16"/>
  <c r="C429" i="16"/>
  <c r="C430" i="16"/>
  <c r="C431" i="16"/>
  <c r="C432" i="16"/>
  <c r="C433" i="16"/>
  <c r="C434" i="16"/>
  <c r="C435" i="16"/>
  <c r="C436" i="16"/>
  <c r="C437" i="16"/>
  <c r="C438" i="16"/>
  <c r="C439" i="16"/>
  <c r="C440" i="16"/>
  <c r="C441" i="16"/>
  <c r="C442" i="16"/>
  <c r="C443" i="16"/>
  <c r="C444" i="16"/>
  <c r="C445" i="16"/>
  <c r="C446" i="16"/>
  <c r="C447" i="16"/>
  <c r="C448" i="16"/>
  <c r="C449" i="16"/>
  <c r="C450" i="16"/>
  <c r="C451" i="16"/>
  <c r="C452" i="16"/>
  <c r="C453" i="16"/>
  <c r="C454" i="16"/>
  <c r="C455" i="16"/>
  <c r="C456" i="16"/>
  <c r="C457" i="16"/>
  <c r="C458" i="16"/>
  <c r="C459" i="16"/>
  <c r="C460" i="16"/>
  <c r="C461" i="16"/>
  <c r="C462" i="16"/>
  <c r="C463" i="16"/>
  <c r="C464" i="16"/>
  <c r="C465" i="16"/>
  <c r="C466" i="16"/>
  <c r="C467" i="16"/>
  <c r="C468" i="16"/>
  <c r="C469" i="16"/>
  <c r="C470" i="16"/>
  <c r="C471" i="16"/>
  <c r="C472" i="16"/>
  <c r="C473" i="16"/>
  <c r="C474" i="16"/>
  <c r="C475" i="16"/>
  <c r="C476" i="16"/>
  <c r="C477" i="16"/>
  <c r="C478" i="16"/>
  <c r="C479" i="16"/>
  <c r="C480" i="16"/>
  <c r="C481" i="16"/>
  <c r="C482" i="16"/>
  <c r="C483" i="16"/>
  <c r="C484" i="16"/>
  <c r="C485" i="16"/>
  <c r="C486" i="16"/>
  <c r="C487" i="16"/>
  <c r="C488" i="16"/>
  <c r="C489" i="16"/>
  <c r="C490" i="16"/>
  <c r="C491" i="16"/>
  <c r="C492" i="16"/>
  <c r="C493" i="16"/>
  <c r="C494" i="16"/>
  <c r="C495" i="16"/>
  <c r="C496" i="16"/>
  <c r="C497" i="16"/>
  <c r="C498" i="16"/>
  <c r="C499" i="16"/>
  <c r="C500" i="16"/>
  <c r="C501" i="16"/>
  <c r="C502" i="16"/>
  <c r="C503" i="16"/>
  <c r="C504" i="16"/>
  <c r="C505" i="16"/>
  <c r="C506" i="16"/>
  <c r="C507" i="16"/>
  <c r="C508" i="16"/>
  <c r="C509" i="16"/>
  <c r="C510" i="16"/>
  <c r="M7" i="9"/>
  <c r="M8" i="9"/>
  <c r="M9" i="9"/>
  <c r="M10" i="9"/>
  <c r="M11" i="9"/>
  <c r="M27" i="9"/>
  <c r="M28" i="9"/>
  <c r="M29" i="9"/>
  <c r="M30" i="9"/>
  <c r="M31" i="9"/>
  <c r="M47" i="9"/>
  <c r="M48" i="9"/>
  <c r="M49" i="9"/>
  <c r="M50" i="9"/>
  <c r="M51" i="9"/>
  <c r="M67" i="9"/>
  <c r="M68" i="9"/>
  <c r="M69" i="9"/>
  <c r="M70" i="9"/>
  <c r="M71" i="9"/>
  <c r="M87" i="9"/>
  <c r="M88" i="9"/>
  <c r="M89" i="9"/>
  <c r="M90" i="9"/>
  <c r="M91" i="9"/>
  <c r="M107" i="9"/>
  <c r="M108" i="9"/>
  <c r="M109" i="9"/>
  <c r="M110" i="9"/>
  <c r="M111" i="9"/>
  <c r="M127" i="9"/>
  <c r="M128" i="9"/>
  <c r="M129" i="9"/>
  <c r="M130" i="9"/>
  <c r="M131" i="9"/>
  <c r="M147" i="9"/>
  <c r="M148" i="9"/>
  <c r="M149" i="9"/>
  <c r="M150" i="9"/>
  <c r="M151" i="9"/>
  <c r="M167" i="9"/>
  <c r="M168" i="9"/>
  <c r="M169" i="9"/>
  <c r="M170" i="9"/>
  <c r="M171" i="9"/>
  <c r="M187" i="9"/>
  <c r="M188" i="9"/>
  <c r="M189" i="9"/>
  <c r="M190" i="9"/>
  <c r="M191" i="9"/>
  <c r="M207" i="9"/>
  <c r="M208" i="9"/>
  <c r="M209" i="9"/>
  <c r="M210" i="9"/>
  <c r="M211" i="9"/>
  <c r="M227" i="9"/>
  <c r="M228" i="9"/>
  <c r="M229" i="9"/>
  <c r="M230" i="9"/>
  <c r="M231" i="9"/>
  <c r="M247" i="9"/>
  <c r="M248" i="9"/>
  <c r="M249" i="9"/>
  <c r="M250" i="9"/>
  <c r="M251" i="9"/>
  <c r="G26" i="17"/>
  <c r="F26" i="17"/>
  <c r="G25" i="17"/>
  <c r="F25" i="17"/>
  <c r="G24" i="17"/>
  <c r="F24" i="17"/>
  <c r="G23" i="17"/>
  <c r="F23" i="17"/>
  <c r="G22" i="17"/>
  <c r="F22" i="17"/>
  <c r="G21" i="17"/>
  <c r="F21" i="17"/>
  <c r="G20" i="17"/>
  <c r="F20" i="17"/>
  <c r="G19" i="17"/>
  <c r="F19" i="17"/>
  <c r="G18" i="17"/>
  <c r="F18" i="17"/>
  <c r="G17" i="17"/>
  <c r="F17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J506" i="6"/>
  <c r="I506" i="6"/>
  <c r="J505" i="6"/>
  <c r="I505" i="6"/>
  <c r="J504" i="6"/>
  <c r="I504" i="6"/>
  <c r="J503" i="6"/>
  <c r="I503" i="6"/>
  <c r="J502" i="6"/>
  <c r="I502" i="6"/>
  <c r="J501" i="6"/>
  <c r="I501" i="6"/>
  <c r="J500" i="6"/>
  <c r="I500" i="6"/>
  <c r="J499" i="6"/>
  <c r="I499" i="6"/>
  <c r="J498" i="6"/>
  <c r="I498" i="6"/>
  <c r="J497" i="6"/>
  <c r="I497" i="6"/>
  <c r="J496" i="6"/>
  <c r="I496" i="6"/>
  <c r="J495" i="6"/>
  <c r="I495" i="6"/>
  <c r="J494" i="6"/>
  <c r="I494" i="6"/>
  <c r="J493" i="6"/>
  <c r="I493" i="6"/>
  <c r="J492" i="6"/>
  <c r="I492" i="6"/>
  <c r="J491" i="6"/>
  <c r="I491" i="6"/>
  <c r="J490" i="6"/>
  <c r="I490" i="6"/>
  <c r="J489" i="6"/>
  <c r="I489" i="6"/>
  <c r="J488" i="6"/>
  <c r="I488" i="6"/>
  <c r="J487" i="6"/>
  <c r="I487" i="6"/>
  <c r="J486" i="6"/>
  <c r="I486" i="6"/>
  <c r="J485" i="6"/>
  <c r="I485" i="6"/>
  <c r="J484" i="6"/>
  <c r="I484" i="6"/>
  <c r="J483" i="6"/>
  <c r="I483" i="6"/>
  <c r="J482" i="6"/>
  <c r="I482" i="6"/>
  <c r="J481" i="6"/>
  <c r="I481" i="6"/>
  <c r="J480" i="6"/>
  <c r="I480" i="6"/>
  <c r="J479" i="6"/>
  <c r="I479" i="6"/>
  <c r="J478" i="6"/>
  <c r="I478" i="6"/>
  <c r="J477" i="6"/>
  <c r="I477" i="6"/>
  <c r="J476" i="6"/>
  <c r="I476" i="6"/>
  <c r="J475" i="6"/>
  <c r="I475" i="6"/>
  <c r="J474" i="6"/>
  <c r="I474" i="6"/>
  <c r="J473" i="6"/>
  <c r="I473" i="6"/>
  <c r="J472" i="6"/>
  <c r="I472" i="6"/>
  <c r="J471" i="6"/>
  <c r="I471" i="6"/>
  <c r="J470" i="6"/>
  <c r="I470" i="6"/>
  <c r="J469" i="6"/>
  <c r="I469" i="6"/>
  <c r="J468" i="6"/>
  <c r="I468" i="6"/>
  <c r="J467" i="6"/>
  <c r="I467" i="6"/>
  <c r="J466" i="6"/>
  <c r="I466" i="6"/>
  <c r="J465" i="6"/>
  <c r="I465" i="6"/>
  <c r="J464" i="6"/>
  <c r="I464" i="6"/>
  <c r="J463" i="6"/>
  <c r="I463" i="6"/>
  <c r="J462" i="6"/>
  <c r="I462" i="6"/>
  <c r="J461" i="6"/>
  <c r="I461" i="6"/>
  <c r="J460" i="6"/>
  <c r="I460" i="6"/>
  <c r="J459" i="6"/>
  <c r="I459" i="6"/>
  <c r="J458" i="6"/>
  <c r="I458" i="6"/>
  <c r="J457" i="6"/>
  <c r="I457" i="6"/>
  <c r="J456" i="6"/>
  <c r="I456" i="6"/>
  <c r="J455" i="6"/>
  <c r="I455" i="6"/>
  <c r="J454" i="6"/>
  <c r="I454" i="6"/>
  <c r="J453" i="6"/>
  <c r="I453" i="6"/>
  <c r="J452" i="6"/>
  <c r="I452" i="6"/>
  <c r="J451" i="6"/>
  <c r="I451" i="6"/>
  <c r="J450" i="6"/>
  <c r="I450" i="6"/>
  <c r="J449" i="6"/>
  <c r="I449" i="6"/>
  <c r="J448" i="6"/>
  <c r="I448" i="6"/>
  <c r="J447" i="6"/>
  <c r="I447" i="6"/>
  <c r="J446" i="6"/>
  <c r="I446" i="6"/>
  <c r="J445" i="6"/>
  <c r="I445" i="6"/>
  <c r="J444" i="6"/>
  <c r="I444" i="6"/>
  <c r="J443" i="6"/>
  <c r="I443" i="6"/>
  <c r="J442" i="6"/>
  <c r="I442" i="6"/>
  <c r="J441" i="6"/>
  <c r="I441" i="6"/>
  <c r="J440" i="6"/>
  <c r="I440" i="6"/>
  <c r="J439" i="6"/>
  <c r="I439" i="6"/>
  <c r="J438" i="6"/>
  <c r="I438" i="6"/>
  <c r="J437" i="6"/>
  <c r="I437" i="6"/>
  <c r="J436" i="6"/>
  <c r="I436" i="6"/>
  <c r="J435" i="6"/>
  <c r="I435" i="6"/>
  <c r="J434" i="6"/>
  <c r="I434" i="6"/>
  <c r="J433" i="6"/>
  <c r="I433" i="6"/>
  <c r="J432" i="6"/>
  <c r="I432" i="6"/>
  <c r="J431" i="6"/>
  <c r="I431" i="6"/>
  <c r="J430" i="6"/>
  <c r="I430" i="6"/>
  <c r="J429" i="6"/>
  <c r="I429" i="6"/>
  <c r="J428" i="6"/>
  <c r="I428" i="6"/>
  <c r="J427" i="6"/>
  <c r="I427" i="6"/>
  <c r="J426" i="6"/>
  <c r="I426" i="6"/>
  <c r="J425" i="6"/>
  <c r="I425" i="6"/>
  <c r="J424" i="6"/>
  <c r="I424" i="6"/>
  <c r="J423" i="6"/>
  <c r="I423" i="6"/>
  <c r="J422" i="6"/>
  <c r="I422" i="6"/>
  <c r="J421" i="6"/>
  <c r="I421" i="6"/>
  <c r="J420" i="6"/>
  <c r="I420" i="6"/>
  <c r="J419" i="6"/>
  <c r="I419" i="6"/>
  <c r="J418" i="6"/>
  <c r="I418" i="6"/>
  <c r="J417" i="6"/>
  <c r="I417" i="6"/>
  <c r="J416" i="6"/>
  <c r="I416" i="6"/>
  <c r="J415" i="6"/>
  <c r="I415" i="6"/>
  <c r="J414" i="6"/>
  <c r="I414" i="6"/>
  <c r="J413" i="6"/>
  <c r="I413" i="6"/>
  <c r="J412" i="6"/>
  <c r="I412" i="6"/>
  <c r="J411" i="6"/>
  <c r="I411" i="6"/>
  <c r="J410" i="6"/>
  <c r="I410" i="6"/>
  <c r="J409" i="6"/>
  <c r="I409" i="6"/>
  <c r="J408" i="6"/>
  <c r="I408" i="6"/>
  <c r="J407" i="6"/>
  <c r="I407" i="6"/>
  <c r="J406" i="6"/>
  <c r="I406" i="6"/>
  <c r="J405" i="6"/>
  <c r="I405" i="6"/>
  <c r="J404" i="6"/>
  <c r="I404" i="6"/>
  <c r="J403" i="6"/>
  <c r="I403" i="6"/>
  <c r="J402" i="6"/>
  <c r="I402" i="6"/>
  <c r="J401" i="6"/>
  <c r="I401" i="6"/>
  <c r="J400" i="6"/>
  <c r="I400" i="6"/>
  <c r="J399" i="6"/>
  <c r="I399" i="6"/>
  <c r="J398" i="6"/>
  <c r="I398" i="6"/>
  <c r="J397" i="6"/>
  <c r="I397" i="6"/>
  <c r="J396" i="6"/>
  <c r="I396" i="6"/>
  <c r="J395" i="6"/>
  <c r="I395" i="6"/>
  <c r="J394" i="6"/>
  <c r="I394" i="6"/>
  <c r="J393" i="6"/>
  <c r="I393" i="6"/>
  <c r="J392" i="6"/>
  <c r="I392" i="6"/>
  <c r="J391" i="6"/>
  <c r="I391" i="6"/>
  <c r="J390" i="6"/>
  <c r="I390" i="6"/>
  <c r="J389" i="6"/>
  <c r="I389" i="6"/>
  <c r="J388" i="6"/>
  <c r="I388" i="6"/>
  <c r="J387" i="6"/>
  <c r="I387" i="6"/>
  <c r="J386" i="6"/>
  <c r="I386" i="6"/>
  <c r="J385" i="6"/>
  <c r="I385" i="6"/>
  <c r="J384" i="6"/>
  <c r="I384" i="6"/>
  <c r="J383" i="6"/>
  <c r="I383" i="6"/>
  <c r="J382" i="6"/>
  <c r="I382" i="6"/>
  <c r="J381" i="6"/>
  <c r="I381" i="6"/>
  <c r="J380" i="6"/>
  <c r="I380" i="6"/>
  <c r="J379" i="6"/>
  <c r="I379" i="6"/>
  <c r="J378" i="6"/>
  <c r="I378" i="6"/>
  <c r="J377" i="6"/>
  <c r="I377" i="6"/>
  <c r="J376" i="6"/>
  <c r="I376" i="6"/>
  <c r="J375" i="6"/>
  <c r="I375" i="6"/>
  <c r="J374" i="6"/>
  <c r="I374" i="6"/>
  <c r="J373" i="6"/>
  <c r="I373" i="6"/>
  <c r="J372" i="6"/>
  <c r="I372" i="6"/>
  <c r="J371" i="6"/>
  <c r="I371" i="6"/>
  <c r="J370" i="6"/>
  <c r="I370" i="6"/>
  <c r="J369" i="6"/>
  <c r="I369" i="6"/>
  <c r="J368" i="6"/>
  <c r="I368" i="6"/>
  <c r="J367" i="6"/>
  <c r="I367" i="6"/>
  <c r="J366" i="6"/>
  <c r="I366" i="6"/>
  <c r="J365" i="6"/>
  <c r="I365" i="6"/>
  <c r="J364" i="6"/>
  <c r="I364" i="6"/>
  <c r="J363" i="6"/>
  <c r="I363" i="6"/>
  <c r="J362" i="6"/>
  <c r="I362" i="6"/>
  <c r="J361" i="6"/>
  <c r="I361" i="6"/>
  <c r="J360" i="6"/>
  <c r="I360" i="6"/>
  <c r="J359" i="6"/>
  <c r="I359" i="6"/>
  <c r="J358" i="6"/>
  <c r="I358" i="6"/>
  <c r="J357" i="6"/>
  <c r="I357" i="6"/>
  <c r="J356" i="6"/>
  <c r="I356" i="6"/>
  <c r="J355" i="6"/>
  <c r="I355" i="6"/>
  <c r="J354" i="6"/>
  <c r="I354" i="6"/>
  <c r="J353" i="6"/>
  <c r="I353" i="6"/>
  <c r="J352" i="6"/>
  <c r="I352" i="6"/>
  <c r="J351" i="6"/>
  <c r="I351" i="6"/>
  <c r="J350" i="6"/>
  <c r="I350" i="6"/>
  <c r="J349" i="6"/>
  <c r="I349" i="6"/>
  <c r="J348" i="6"/>
  <c r="I348" i="6"/>
  <c r="J347" i="6"/>
  <c r="I347" i="6"/>
  <c r="J346" i="6"/>
  <c r="I346" i="6"/>
  <c r="J345" i="6"/>
  <c r="I345" i="6"/>
  <c r="J344" i="6"/>
  <c r="I344" i="6"/>
  <c r="J343" i="6"/>
  <c r="I343" i="6"/>
  <c r="J342" i="6"/>
  <c r="I342" i="6"/>
  <c r="J341" i="6"/>
  <c r="I341" i="6"/>
  <c r="J340" i="6"/>
  <c r="I340" i="6"/>
  <c r="J339" i="6"/>
  <c r="I339" i="6"/>
  <c r="J338" i="6"/>
  <c r="I338" i="6"/>
  <c r="J337" i="6"/>
  <c r="I337" i="6"/>
  <c r="J336" i="6"/>
  <c r="I336" i="6"/>
  <c r="J335" i="6"/>
  <c r="I335" i="6"/>
  <c r="J334" i="6"/>
  <c r="I334" i="6"/>
  <c r="J333" i="6"/>
  <c r="I333" i="6"/>
  <c r="J332" i="6"/>
  <c r="I332" i="6"/>
  <c r="J331" i="6"/>
  <c r="I331" i="6"/>
  <c r="J330" i="6"/>
  <c r="I330" i="6"/>
  <c r="J329" i="6"/>
  <c r="I329" i="6"/>
  <c r="J328" i="6"/>
  <c r="I328" i="6"/>
  <c r="J327" i="6"/>
  <c r="I327" i="6"/>
  <c r="J326" i="6"/>
  <c r="I326" i="6"/>
  <c r="J325" i="6"/>
  <c r="I325" i="6"/>
  <c r="J324" i="6"/>
  <c r="I324" i="6"/>
  <c r="J323" i="6"/>
  <c r="I323" i="6"/>
  <c r="J322" i="6"/>
  <c r="I322" i="6"/>
  <c r="J321" i="6"/>
  <c r="I321" i="6"/>
  <c r="J320" i="6"/>
  <c r="I320" i="6"/>
  <c r="J319" i="6"/>
  <c r="I319" i="6"/>
  <c r="J318" i="6"/>
  <c r="I318" i="6"/>
  <c r="J317" i="6"/>
  <c r="I317" i="6"/>
  <c r="J316" i="6"/>
  <c r="I316" i="6"/>
  <c r="J315" i="6"/>
  <c r="I315" i="6"/>
  <c r="J314" i="6"/>
  <c r="I314" i="6"/>
  <c r="J313" i="6"/>
  <c r="I313" i="6"/>
  <c r="J312" i="6"/>
  <c r="I312" i="6"/>
  <c r="J311" i="6"/>
  <c r="I311" i="6"/>
  <c r="J310" i="6"/>
  <c r="I310" i="6"/>
  <c r="J309" i="6"/>
  <c r="I309" i="6"/>
  <c r="J308" i="6"/>
  <c r="I308" i="6"/>
  <c r="J307" i="6"/>
  <c r="I307" i="6"/>
  <c r="J306" i="6"/>
  <c r="I306" i="6"/>
  <c r="J305" i="6"/>
  <c r="I305" i="6"/>
  <c r="J304" i="6"/>
  <c r="I304" i="6"/>
  <c r="J303" i="6"/>
  <c r="I303" i="6"/>
  <c r="J302" i="6"/>
  <c r="I302" i="6"/>
  <c r="J301" i="6"/>
  <c r="I301" i="6"/>
  <c r="J300" i="6"/>
  <c r="I300" i="6"/>
  <c r="J299" i="6"/>
  <c r="I299" i="6"/>
  <c r="J298" i="6"/>
  <c r="I298" i="6"/>
  <c r="J297" i="6"/>
  <c r="I297" i="6"/>
  <c r="J296" i="6"/>
  <c r="I296" i="6"/>
  <c r="J295" i="6"/>
  <c r="I295" i="6"/>
  <c r="J294" i="6"/>
  <c r="I294" i="6"/>
  <c r="J293" i="6"/>
  <c r="I293" i="6"/>
  <c r="J292" i="6"/>
  <c r="I292" i="6"/>
  <c r="J291" i="6"/>
  <c r="I291" i="6"/>
  <c r="J290" i="6"/>
  <c r="I290" i="6"/>
  <c r="J289" i="6"/>
  <c r="I289" i="6"/>
  <c r="J288" i="6"/>
  <c r="I288" i="6"/>
  <c r="J287" i="6"/>
  <c r="I287" i="6"/>
  <c r="J286" i="6"/>
  <c r="I286" i="6"/>
  <c r="J285" i="6"/>
  <c r="I285" i="6"/>
  <c r="J284" i="6"/>
  <c r="I284" i="6"/>
  <c r="J283" i="6"/>
  <c r="I283" i="6"/>
  <c r="J282" i="6"/>
  <c r="I282" i="6"/>
  <c r="J281" i="6"/>
  <c r="I281" i="6"/>
  <c r="J280" i="6"/>
  <c r="I280" i="6"/>
  <c r="J279" i="6"/>
  <c r="I279" i="6"/>
  <c r="J278" i="6"/>
  <c r="I278" i="6"/>
  <c r="J277" i="6"/>
  <c r="I277" i="6"/>
  <c r="J276" i="6"/>
  <c r="I276" i="6"/>
  <c r="J275" i="6"/>
  <c r="I275" i="6"/>
  <c r="J274" i="6"/>
  <c r="I274" i="6"/>
  <c r="J273" i="6"/>
  <c r="I273" i="6"/>
  <c r="J272" i="6"/>
  <c r="I272" i="6"/>
  <c r="J271" i="6"/>
  <c r="I271" i="6"/>
  <c r="J270" i="6"/>
  <c r="I270" i="6"/>
  <c r="J269" i="6"/>
  <c r="I269" i="6"/>
  <c r="J268" i="6"/>
  <c r="I268" i="6"/>
  <c r="J267" i="6"/>
  <c r="I267" i="6"/>
  <c r="J266" i="6"/>
  <c r="I266" i="6"/>
  <c r="J265" i="6"/>
  <c r="I265" i="6"/>
  <c r="J264" i="6"/>
  <c r="I264" i="6"/>
  <c r="J263" i="6"/>
  <c r="I263" i="6"/>
  <c r="J262" i="6"/>
  <c r="I262" i="6"/>
  <c r="J261" i="6"/>
  <c r="I261" i="6"/>
  <c r="J260" i="6"/>
  <c r="I260" i="6"/>
  <c r="J259" i="6"/>
  <c r="I259" i="6"/>
  <c r="J258" i="6"/>
  <c r="I258" i="6"/>
  <c r="J257" i="6"/>
  <c r="I257" i="6"/>
  <c r="J256" i="6"/>
  <c r="I256" i="6"/>
  <c r="J255" i="6"/>
  <c r="I255" i="6"/>
  <c r="J254" i="6"/>
  <c r="I254" i="6"/>
  <c r="J253" i="6"/>
  <c r="I253" i="6"/>
  <c r="J252" i="6"/>
  <c r="I252" i="6"/>
  <c r="J251" i="6"/>
  <c r="I251" i="6"/>
  <c r="J250" i="6"/>
  <c r="I250" i="6"/>
  <c r="J249" i="6"/>
  <c r="I249" i="6"/>
  <c r="J248" i="6"/>
  <c r="I248" i="6"/>
  <c r="J247" i="6"/>
  <c r="I247" i="6"/>
  <c r="J246" i="6"/>
  <c r="I246" i="6"/>
  <c r="J245" i="6"/>
  <c r="I245" i="6"/>
  <c r="J244" i="6"/>
  <c r="I244" i="6"/>
  <c r="J243" i="6"/>
  <c r="I243" i="6"/>
  <c r="J242" i="6"/>
  <c r="I242" i="6"/>
  <c r="J241" i="6"/>
  <c r="I241" i="6"/>
  <c r="J240" i="6"/>
  <c r="I240" i="6"/>
  <c r="J239" i="6"/>
  <c r="I239" i="6"/>
  <c r="J238" i="6"/>
  <c r="I238" i="6"/>
  <c r="J237" i="6"/>
  <c r="I237" i="6"/>
  <c r="J236" i="6"/>
  <c r="I236" i="6"/>
  <c r="J235" i="6"/>
  <c r="I235" i="6"/>
  <c r="J234" i="6"/>
  <c r="I234" i="6"/>
  <c r="J233" i="6"/>
  <c r="I233" i="6"/>
  <c r="J232" i="6"/>
  <c r="I232" i="6"/>
  <c r="J231" i="6"/>
  <c r="I231" i="6"/>
  <c r="J230" i="6"/>
  <c r="I230" i="6"/>
  <c r="J229" i="6"/>
  <c r="I229" i="6"/>
  <c r="J228" i="6"/>
  <c r="I228" i="6"/>
  <c r="J227" i="6"/>
  <c r="I227" i="6"/>
  <c r="J226" i="6"/>
  <c r="I226" i="6"/>
  <c r="J225" i="6"/>
  <c r="I225" i="6"/>
  <c r="J224" i="6"/>
  <c r="I224" i="6"/>
  <c r="J223" i="6"/>
  <c r="I223" i="6"/>
  <c r="J222" i="6"/>
  <c r="I222" i="6"/>
  <c r="J221" i="6"/>
  <c r="I221" i="6"/>
  <c r="J220" i="6"/>
  <c r="I220" i="6"/>
  <c r="J219" i="6"/>
  <c r="I219" i="6"/>
  <c r="J218" i="6"/>
  <c r="I218" i="6"/>
  <c r="J217" i="6"/>
  <c r="I217" i="6"/>
  <c r="J216" i="6"/>
  <c r="I216" i="6"/>
  <c r="J215" i="6"/>
  <c r="I215" i="6"/>
  <c r="J214" i="6"/>
  <c r="I214" i="6"/>
  <c r="J213" i="6"/>
  <c r="I213" i="6"/>
  <c r="J212" i="6"/>
  <c r="I212" i="6"/>
  <c r="J211" i="6"/>
  <c r="I211" i="6"/>
  <c r="J210" i="6"/>
  <c r="I210" i="6"/>
  <c r="J209" i="6"/>
  <c r="I209" i="6"/>
  <c r="J208" i="6"/>
  <c r="I208" i="6"/>
  <c r="J207" i="6"/>
  <c r="I207" i="6"/>
  <c r="J206" i="6"/>
  <c r="I206" i="6"/>
  <c r="J205" i="6"/>
  <c r="I205" i="6"/>
  <c r="J204" i="6"/>
  <c r="I204" i="6"/>
  <c r="J203" i="6"/>
  <c r="I203" i="6"/>
  <c r="J202" i="6"/>
  <c r="I202" i="6"/>
  <c r="J201" i="6"/>
  <c r="I201" i="6"/>
  <c r="J200" i="6"/>
  <c r="I200" i="6"/>
  <c r="J199" i="6"/>
  <c r="I199" i="6"/>
  <c r="J198" i="6"/>
  <c r="I198" i="6"/>
  <c r="J197" i="6"/>
  <c r="I197" i="6"/>
  <c r="J196" i="6"/>
  <c r="I196" i="6"/>
  <c r="J195" i="6"/>
  <c r="I195" i="6"/>
  <c r="J194" i="6"/>
  <c r="I194" i="6"/>
  <c r="J193" i="6"/>
  <c r="I193" i="6"/>
  <c r="J192" i="6"/>
  <c r="I192" i="6"/>
  <c r="J191" i="6"/>
  <c r="I191" i="6"/>
  <c r="J190" i="6"/>
  <c r="I190" i="6"/>
  <c r="J189" i="6"/>
  <c r="I189" i="6"/>
  <c r="J188" i="6"/>
  <c r="I188" i="6"/>
  <c r="J187" i="6"/>
  <c r="I187" i="6"/>
  <c r="J186" i="6"/>
  <c r="I186" i="6"/>
  <c r="J185" i="6"/>
  <c r="I185" i="6"/>
  <c r="J184" i="6"/>
  <c r="I184" i="6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J170" i="6"/>
  <c r="I170" i="6"/>
  <c r="J169" i="6"/>
  <c r="I169" i="6"/>
  <c r="J168" i="6"/>
  <c r="I168" i="6"/>
  <c r="J167" i="6"/>
  <c r="I167" i="6"/>
  <c r="J166" i="6"/>
  <c r="I166" i="6"/>
  <c r="J165" i="6"/>
  <c r="I165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J146" i="6"/>
  <c r="I146" i="6"/>
  <c r="J145" i="6"/>
  <c r="I145" i="6"/>
  <c r="J144" i="6"/>
  <c r="I144" i="6"/>
  <c r="J143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J129" i="6"/>
  <c r="I129" i="6"/>
  <c r="J128" i="6"/>
  <c r="I128" i="6"/>
  <c r="J127" i="6"/>
  <c r="I127" i="6"/>
  <c r="J126" i="6"/>
  <c r="I126" i="6"/>
  <c r="J125" i="6"/>
  <c r="I125" i="6"/>
  <c r="J124" i="6"/>
  <c r="I124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8" i="6"/>
  <c r="I88" i="6"/>
  <c r="J87" i="6"/>
  <c r="I87" i="6"/>
  <c r="J86" i="6"/>
  <c r="I86" i="6"/>
  <c r="J85" i="6"/>
  <c r="I85" i="6"/>
  <c r="J84" i="6"/>
  <c r="I84" i="6"/>
  <c r="J83" i="6"/>
  <c r="I83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F8" i="6"/>
  <c r="F9" i="6"/>
  <c r="F10" i="6"/>
  <c r="F11" i="6"/>
  <c r="F12" i="6"/>
  <c r="M13" i="9" s="1"/>
  <c r="F13" i="6"/>
  <c r="L13" i="6" s="1"/>
  <c r="F14" i="6"/>
  <c r="L14" i="6" s="1"/>
  <c r="F15" i="6"/>
  <c r="C19" i="16" s="1"/>
  <c r="F16" i="6"/>
  <c r="C20" i="16" s="1"/>
  <c r="F17" i="6"/>
  <c r="F18" i="6"/>
  <c r="L18" i="6" s="1"/>
  <c r="F19" i="6"/>
  <c r="L19" i="6" s="1"/>
  <c r="F20" i="6"/>
  <c r="L20" i="6" s="1"/>
  <c r="F21" i="6"/>
  <c r="C25" i="16" s="1"/>
  <c r="F22" i="6"/>
  <c r="L22" i="6" s="1"/>
  <c r="F23" i="6"/>
  <c r="L23" i="6" s="1"/>
  <c r="F24" i="6"/>
  <c r="L24" i="6" s="1"/>
  <c r="F25" i="6"/>
  <c r="C29" i="16" s="1"/>
  <c r="F26" i="6"/>
  <c r="L26" i="6" s="1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D192" i="9" s="1"/>
  <c r="F497" i="6"/>
  <c r="F498" i="6"/>
  <c r="F499" i="6"/>
  <c r="F500" i="6"/>
  <c r="F501" i="6"/>
  <c r="F502" i="6"/>
  <c r="F503" i="6"/>
  <c r="F504" i="6"/>
  <c r="F505" i="6"/>
  <c r="F506" i="6"/>
  <c r="F7" i="6"/>
  <c r="D7" i="9"/>
  <c r="D208" i="9"/>
  <c r="D216" i="9"/>
  <c r="D228" i="9"/>
  <c r="D244" i="9"/>
  <c r="D248" i="9"/>
  <c r="D256" i="9"/>
  <c r="D259" i="9"/>
  <c r="D264" i="9"/>
  <c r="G8" i="6"/>
  <c r="H8" i="6" s="1"/>
  <c r="G9" i="6"/>
  <c r="H9" i="6" s="1"/>
  <c r="G10" i="6"/>
  <c r="H10" i="6" s="1"/>
  <c r="G11" i="6"/>
  <c r="H11" i="6" s="1"/>
  <c r="G12" i="6"/>
  <c r="H12" i="6" s="1"/>
  <c r="G13" i="6"/>
  <c r="H13" i="6" s="1"/>
  <c r="G14" i="6"/>
  <c r="H14" i="6" s="1"/>
  <c r="G15" i="6"/>
  <c r="H15" i="6" s="1"/>
  <c r="G16" i="6"/>
  <c r="H16" i="6" s="1"/>
  <c r="G17" i="6"/>
  <c r="H17" i="6" s="1"/>
  <c r="G18" i="6"/>
  <c r="H18" i="6" s="1"/>
  <c r="G20" i="6"/>
  <c r="H20" i="6" s="1"/>
  <c r="G21" i="6"/>
  <c r="H21" i="6" s="1"/>
  <c r="G22" i="6"/>
  <c r="H22" i="6" s="1"/>
  <c r="I162" i="9" s="1"/>
  <c r="G23" i="6"/>
  <c r="H23" i="6" s="1"/>
  <c r="G24" i="6"/>
  <c r="H24" i="6" s="1"/>
  <c r="G25" i="6"/>
  <c r="H25" i="6" s="1"/>
  <c r="G26" i="6"/>
  <c r="H26" i="6" s="1"/>
  <c r="G27" i="6"/>
  <c r="H27" i="6" s="1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36" i="6"/>
  <c r="H36" i="6" s="1"/>
  <c r="G37" i="6"/>
  <c r="H37" i="6" s="1"/>
  <c r="G38" i="6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45" i="6"/>
  <c r="H45" i="6" s="1"/>
  <c r="G46" i="6"/>
  <c r="H46" i="6" s="1"/>
  <c r="G47" i="6"/>
  <c r="H47" i="6" s="1"/>
  <c r="G48" i="6"/>
  <c r="H48" i="6" s="1"/>
  <c r="G49" i="6"/>
  <c r="H49" i="6" s="1"/>
  <c r="G50" i="6"/>
  <c r="H50" i="6" s="1"/>
  <c r="G51" i="6"/>
  <c r="H51" i="6" s="1"/>
  <c r="G52" i="6"/>
  <c r="H52" i="6" s="1"/>
  <c r="G53" i="6"/>
  <c r="H53" i="6" s="1"/>
  <c r="G54" i="6"/>
  <c r="H54" i="6" s="1"/>
  <c r="G55" i="6"/>
  <c r="H55" i="6" s="1"/>
  <c r="G56" i="6"/>
  <c r="H56" i="6" s="1"/>
  <c r="G57" i="6"/>
  <c r="H57" i="6" s="1"/>
  <c r="G58" i="6"/>
  <c r="H58" i="6" s="1"/>
  <c r="G59" i="6"/>
  <c r="H59" i="6" s="1"/>
  <c r="G60" i="6"/>
  <c r="H60" i="6" s="1"/>
  <c r="G61" i="6"/>
  <c r="H61" i="6" s="1"/>
  <c r="G62" i="6"/>
  <c r="H62" i="6" s="1"/>
  <c r="G63" i="6"/>
  <c r="H63" i="6" s="1"/>
  <c r="G64" i="6"/>
  <c r="H64" i="6" s="1"/>
  <c r="G65" i="6"/>
  <c r="H65" i="6" s="1"/>
  <c r="G66" i="6"/>
  <c r="H66" i="6" s="1"/>
  <c r="G67" i="6"/>
  <c r="H67" i="6" s="1"/>
  <c r="G68" i="6"/>
  <c r="H68" i="6" s="1"/>
  <c r="G69" i="6"/>
  <c r="H69" i="6" s="1"/>
  <c r="G70" i="6"/>
  <c r="H70" i="6" s="1"/>
  <c r="G71" i="6"/>
  <c r="H71" i="6" s="1"/>
  <c r="G72" i="6"/>
  <c r="H72" i="6" s="1"/>
  <c r="G73" i="6"/>
  <c r="H73" i="6" s="1"/>
  <c r="G74" i="6"/>
  <c r="H74" i="6" s="1"/>
  <c r="G75" i="6"/>
  <c r="H75" i="6" s="1"/>
  <c r="G76" i="6"/>
  <c r="H76" i="6" s="1"/>
  <c r="G77" i="6"/>
  <c r="H77" i="6" s="1"/>
  <c r="G78" i="6"/>
  <c r="H78" i="6" s="1"/>
  <c r="G79" i="6"/>
  <c r="H79" i="6" s="1"/>
  <c r="G80" i="6"/>
  <c r="H80" i="6" s="1"/>
  <c r="G81" i="6"/>
  <c r="H81" i="6" s="1"/>
  <c r="G82" i="6"/>
  <c r="H82" i="6" s="1"/>
  <c r="G83" i="6"/>
  <c r="H83" i="6" s="1"/>
  <c r="G84" i="6"/>
  <c r="H84" i="6" s="1"/>
  <c r="G85" i="6"/>
  <c r="H85" i="6" s="1"/>
  <c r="G86" i="6"/>
  <c r="H86" i="6" s="1"/>
  <c r="G87" i="6"/>
  <c r="H87" i="6" s="1"/>
  <c r="G88" i="6"/>
  <c r="H88" i="6" s="1"/>
  <c r="G89" i="6"/>
  <c r="H89" i="6" s="1"/>
  <c r="G90" i="6"/>
  <c r="H90" i="6" s="1"/>
  <c r="G91" i="6"/>
  <c r="H91" i="6" s="1"/>
  <c r="G92" i="6"/>
  <c r="H92" i="6" s="1"/>
  <c r="G93" i="6"/>
  <c r="H93" i="6" s="1"/>
  <c r="G94" i="6"/>
  <c r="H94" i="6" s="1"/>
  <c r="G95" i="6"/>
  <c r="H95" i="6" s="1"/>
  <c r="G96" i="6"/>
  <c r="H96" i="6" s="1"/>
  <c r="G97" i="6"/>
  <c r="H97" i="6" s="1"/>
  <c r="G98" i="6"/>
  <c r="H98" i="6" s="1"/>
  <c r="G99" i="6"/>
  <c r="H99" i="6" s="1"/>
  <c r="G100" i="6"/>
  <c r="H100" i="6" s="1"/>
  <c r="G101" i="6"/>
  <c r="H101" i="6" s="1"/>
  <c r="G102" i="6"/>
  <c r="H102" i="6" s="1"/>
  <c r="G103" i="6"/>
  <c r="H103" i="6" s="1"/>
  <c r="G104" i="6"/>
  <c r="H104" i="6" s="1"/>
  <c r="G105" i="6"/>
  <c r="H105" i="6" s="1"/>
  <c r="G106" i="6"/>
  <c r="H106" i="6" s="1"/>
  <c r="G107" i="6"/>
  <c r="H107" i="6" s="1"/>
  <c r="G108" i="6"/>
  <c r="H108" i="6" s="1"/>
  <c r="G109" i="6"/>
  <c r="H109" i="6" s="1"/>
  <c r="G110" i="6"/>
  <c r="H110" i="6" s="1"/>
  <c r="G111" i="6"/>
  <c r="H111" i="6" s="1"/>
  <c r="G112" i="6"/>
  <c r="H112" i="6" s="1"/>
  <c r="G113" i="6"/>
  <c r="H113" i="6" s="1"/>
  <c r="G114" i="6"/>
  <c r="H114" i="6" s="1"/>
  <c r="G115" i="6"/>
  <c r="H115" i="6" s="1"/>
  <c r="G116" i="6"/>
  <c r="H116" i="6" s="1"/>
  <c r="G117" i="6"/>
  <c r="H117" i="6" s="1"/>
  <c r="G118" i="6"/>
  <c r="H118" i="6" s="1"/>
  <c r="G119" i="6"/>
  <c r="H119" i="6" s="1"/>
  <c r="G120" i="6"/>
  <c r="H120" i="6" s="1"/>
  <c r="G121" i="6"/>
  <c r="H121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G128" i="6"/>
  <c r="H128" i="6" s="1"/>
  <c r="G129" i="6"/>
  <c r="H129" i="6" s="1"/>
  <c r="G130" i="6"/>
  <c r="H130" i="6" s="1"/>
  <c r="G131" i="6"/>
  <c r="H131" i="6" s="1"/>
  <c r="G132" i="6"/>
  <c r="H132" i="6" s="1"/>
  <c r="G133" i="6"/>
  <c r="H133" i="6" s="1"/>
  <c r="G134" i="6"/>
  <c r="H134" i="6" s="1"/>
  <c r="G135" i="6"/>
  <c r="H135" i="6" s="1"/>
  <c r="G136" i="6"/>
  <c r="H136" i="6" s="1"/>
  <c r="G137" i="6"/>
  <c r="H137" i="6" s="1"/>
  <c r="G138" i="6"/>
  <c r="H138" i="6" s="1"/>
  <c r="G139" i="6"/>
  <c r="H139" i="6" s="1"/>
  <c r="G140" i="6"/>
  <c r="H140" i="6" s="1"/>
  <c r="G141" i="6"/>
  <c r="H141" i="6" s="1"/>
  <c r="G142" i="6"/>
  <c r="H142" i="6" s="1"/>
  <c r="G143" i="6"/>
  <c r="H143" i="6" s="1"/>
  <c r="G144" i="6"/>
  <c r="H144" i="6" s="1"/>
  <c r="G145" i="6"/>
  <c r="H145" i="6" s="1"/>
  <c r="G146" i="6"/>
  <c r="H146" i="6" s="1"/>
  <c r="G147" i="6"/>
  <c r="H147" i="6" s="1"/>
  <c r="G148" i="6"/>
  <c r="H148" i="6" s="1"/>
  <c r="G149" i="6"/>
  <c r="H149" i="6" s="1"/>
  <c r="G150" i="6"/>
  <c r="H150" i="6" s="1"/>
  <c r="G151" i="6"/>
  <c r="H151" i="6" s="1"/>
  <c r="G152" i="6"/>
  <c r="H152" i="6" s="1"/>
  <c r="G153" i="6"/>
  <c r="H153" i="6" s="1"/>
  <c r="G154" i="6"/>
  <c r="H154" i="6" s="1"/>
  <c r="G155" i="6"/>
  <c r="H155" i="6" s="1"/>
  <c r="G156" i="6"/>
  <c r="H156" i="6" s="1"/>
  <c r="G157" i="6"/>
  <c r="H157" i="6" s="1"/>
  <c r="G158" i="6"/>
  <c r="H158" i="6" s="1"/>
  <c r="G159" i="6"/>
  <c r="H159" i="6" s="1"/>
  <c r="G160" i="6"/>
  <c r="H160" i="6" s="1"/>
  <c r="G161" i="6"/>
  <c r="H161" i="6" s="1"/>
  <c r="G162" i="6"/>
  <c r="H162" i="6" s="1"/>
  <c r="G163" i="6"/>
  <c r="H163" i="6" s="1"/>
  <c r="G164" i="6"/>
  <c r="H164" i="6" s="1"/>
  <c r="G165" i="6"/>
  <c r="H165" i="6" s="1"/>
  <c r="G166" i="6"/>
  <c r="H166" i="6" s="1"/>
  <c r="G167" i="6"/>
  <c r="H167" i="6" s="1"/>
  <c r="G168" i="6"/>
  <c r="H168" i="6" s="1"/>
  <c r="G169" i="6"/>
  <c r="H169" i="6" s="1"/>
  <c r="G170" i="6"/>
  <c r="H170" i="6" s="1"/>
  <c r="G171" i="6"/>
  <c r="H171" i="6" s="1"/>
  <c r="G172" i="6"/>
  <c r="H172" i="6" s="1"/>
  <c r="G173" i="6"/>
  <c r="H173" i="6" s="1"/>
  <c r="G174" i="6"/>
  <c r="H174" i="6" s="1"/>
  <c r="G175" i="6"/>
  <c r="H175" i="6" s="1"/>
  <c r="G176" i="6"/>
  <c r="H176" i="6" s="1"/>
  <c r="G177" i="6"/>
  <c r="H177" i="6" s="1"/>
  <c r="G178" i="6"/>
  <c r="H178" i="6" s="1"/>
  <c r="G179" i="6"/>
  <c r="H179" i="6" s="1"/>
  <c r="G180" i="6"/>
  <c r="H180" i="6" s="1"/>
  <c r="G181" i="6"/>
  <c r="H181" i="6" s="1"/>
  <c r="G182" i="6"/>
  <c r="H182" i="6" s="1"/>
  <c r="G183" i="6"/>
  <c r="H183" i="6" s="1"/>
  <c r="G184" i="6"/>
  <c r="H184" i="6" s="1"/>
  <c r="G185" i="6"/>
  <c r="H185" i="6" s="1"/>
  <c r="G186" i="6"/>
  <c r="H186" i="6" s="1"/>
  <c r="G187" i="6"/>
  <c r="H187" i="6" s="1"/>
  <c r="G188" i="6"/>
  <c r="H188" i="6" s="1"/>
  <c r="G189" i="6"/>
  <c r="H189" i="6" s="1"/>
  <c r="G190" i="6"/>
  <c r="H190" i="6" s="1"/>
  <c r="G191" i="6"/>
  <c r="H191" i="6" s="1"/>
  <c r="G192" i="6"/>
  <c r="H192" i="6" s="1"/>
  <c r="G193" i="6"/>
  <c r="H193" i="6" s="1"/>
  <c r="G194" i="6"/>
  <c r="H194" i="6" s="1"/>
  <c r="G195" i="6"/>
  <c r="H195" i="6" s="1"/>
  <c r="G196" i="6"/>
  <c r="H196" i="6" s="1"/>
  <c r="G197" i="6"/>
  <c r="H197" i="6" s="1"/>
  <c r="G198" i="6"/>
  <c r="H198" i="6" s="1"/>
  <c r="G199" i="6"/>
  <c r="H199" i="6" s="1"/>
  <c r="G200" i="6"/>
  <c r="H200" i="6" s="1"/>
  <c r="G201" i="6"/>
  <c r="H201" i="6" s="1"/>
  <c r="G202" i="6"/>
  <c r="H202" i="6" s="1"/>
  <c r="G203" i="6"/>
  <c r="H203" i="6" s="1"/>
  <c r="G204" i="6"/>
  <c r="H204" i="6" s="1"/>
  <c r="G205" i="6"/>
  <c r="H205" i="6" s="1"/>
  <c r="G206" i="6"/>
  <c r="H206" i="6" s="1"/>
  <c r="G207" i="6"/>
  <c r="H207" i="6" s="1"/>
  <c r="G208" i="6"/>
  <c r="H208" i="6" s="1"/>
  <c r="G209" i="6"/>
  <c r="H209" i="6" s="1"/>
  <c r="G210" i="6"/>
  <c r="H210" i="6" s="1"/>
  <c r="G211" i="6"/>
  <c r="H211" i="6" s="1"/>
  <c r="G212" i="6"/>
  <c r="H212" i="6" s="1"/>
  <c r="G213" i="6"/>
  <c r="H213" i="6" s="1"/>
  <c r="G214" i="6"/>
  <c r="H214" i="6" s="1"/>
  <c r="G215" i="6"/>
  <c r="H215" i="6" s="1"/>
  <c r="G216" i="6"/>
  <c r="H216" i="6" s="1"/>
  <c r="G217" i="6"/>
  <c r="H217" i="6" s="1"/>
  <c r="G218" i="6"/>
  <c r="H218" i="6" s="1"/>
  <c r="G219" i="6"/>
  <c r="H219" i="6" s="1"/>
  <c r="G220" i="6"/>
  <c r="H220" i="6" s="1"/>
  <c r="G221" i="6"/>
  <c r="H221" i="6" s="1"/>
  <c r="G222" i="6"/>
  <c r="H222" i="6" s="1"/>
  <c r="G223" i="6"/>
  <c r="H223" i="6" s="1"/>
  <c r="G224" i="6"/>
  <c r="H224" i="6" s="1"/>
  <c r="G225" i="6"/>
  <c r="H225" i="6" s="1"/>
  <c r="G226" i="6"/>
  <c r="H226" i="6" s="1"/>
  <c r="G227" i="6"/>
  <c r="H227" i="6" s="1"/>
  <c r="G228" i="6"/>
  <c r="H228" i="6" s="1"/>
  <c r="G229" i="6"/>
  <c r="H229" i="6" s="1"/>
  <c r="G230" i="6"/>
  <c r="H230" i="6" s="1"/>
  <c r="G231" i="6"/>
  <c r="H231" i="6" s="1"/>
  <c r="G232" i="6"/>
  <c r="H232" i="6" s="1"/>
  <c r="G233" i="6"/>
  <c r="H233" i="6" s="1"/>
  <c r="G234" i="6"/>
  <c r="H234" i="6" s="1"/>
  <c r="G235" i="6"/>
  <c r="H235" i="6" s="1"/>
  <c r="G236" i="6"/>
  <c r="H236" i="6" s="1"/>
  <c r="G237" i="6"/>
  <c r="H237" i="6" s="1"/>
  <c r="G238" i="6"/>
  <c r="H238" i="6" s="1"/>
  <c r="G239" i="6"/>
  <c r="H239" i="6" s="1"/>
  <c r="G240" i="6"/>
  <c r="H240" i="6" s="1"/>
  <c r="G241" i="6"/>
  <c r="H241" i="6" s="1"/>
  <c r="G242" i="6"/>
  <c r="H242" i="6" s="1"/>
  <c r="G243" i="6"/>
  <c r="H243" i="6" s="1"/>
  <c r="G244" i="6"/>
  <c r="H244" i="6" s="1"/>
  <c r="G245" i="6"/>
  <c r="H245" i="6" s="1"/>
  <c r="G246" i="6"/>
  <c r="H246" i="6" s="1"/>
  <c r="G247" i="6"/>
  <c r="H247" i="6" s="1"/>
  <c r="G248" i="6"/>
  <c r="H248" i="6" s="1"/>
  <c r="G249" i="6"/>
  <c r="H249" i="6" s="1"/>
  <c r="G250" i="6"/>
  <c r="H250" i="6" s="1"/>
  <c r="G251" i="6"/>
  <c r="H251" i="6" s="1"/>
  <c r="G252" i="6"/>
  <c r="H252" i="6" s="1"/>
  <c r="G253" i="6"/>
  <c r="H253" i="6" s="1"/>
  <c r="G254" i="6"/>
  <c r="H254" i="6" s="1"/>
  <c r="G255" i="6"/>
  <c r="H255" i="6" s="1"/>
  <c r="G256" i="6"/>
  <c r="H256" i="6" s="1"/>
  <c r="G257" i="6"/>
  <c r="H257" i="6" s="1"/>
  <c r="G258" i="6"/>
  <c r="H258" i="6" s="1"/>
  <c r="G259" i="6"/>
  <c r="H259" i="6" s="1"/>
  <c r="G260" i="6"/>
  <c r="H260" i="6" s="1"/>
  <c r="G261" i="6"/>
  <c r="H261" i="6" s="1"/>
  <c r="G262" i="6"/>
  <c r="H262" i="6" s="1"/>
  <c r="G263" i="6"/>
  <c r="H263" i="6" s="1"/>
  <c r="G264" i="6"/>
  <c r="H264" i="6" s="1"/>
  <c r="G265" i="6"/>
  <c r="H265" i="6" s="1"/>
  <c r="G266" i="6"/>
  <c r="H266" i="6" s="1"/>
  <c r="G267" i="6"/>
  <c r="H267" i="6" s="1"/>
  <c r="G268" i="6"/>
  <c r="H268" i="6" s="1"/>
  <c r="G269" i="6"/>
  <c r="H269" i="6" s="1"/>
  <c r="G270" i="6"/>
  <c r="H270" i="6" s="1"/>
  <c r="G271" i="6"/>
  <c r="H271" i="6" s="1"/>
  <c r="G272" i="6"/>
  <c r="H272" i="6" s="1"/>
  <c r="G273" i="6"/>
  <c r="H273" i="6" s="1"/>
  <c r="G274" i="6"/>
  <c r="H274" i="6" s="1"/>
  <c r="G275" i="6"/>
  <c r="H275" i="6" s="1"/>
  <c r="G276" i="6"/>
  <c r="H276" i="6" s="1"/>
  <c r="G277" i="6"/>
  <c r="H277" i="6" s="1"/>
  <c r="G278" i="6"/>
  <c r="H278" i="6" s="1"/>
  <c r="G279" i="6"/>
  <c r="H279" i="6" s="1"/>
  <c r="G280" i="6"/>
  <c r="H280" i="6" s="1"/>
  <c r="G281" i="6"/>
  <c r="H281" i="6" s="1"/>
  <c r="G282" i="6"/>
  <c r="H282" i="6" s="1"/>
  <c r="G283" i="6"/>
  <c r="H283" i="6" s="1"/>
  <c r="G284" i="6"/>
  <c r="H284" i="6" s="1"/>
  <c r="G285" i="6"/>
  <c r="H285" i="6" s="1"/>
  <c r="G286" i="6"/>
  <c r="H286" i="6" s="1"/>
  <c r="G287" i="6"/>
  <c r="H287" i="6" s="1"/>
  <c r="G288" i="6"/>
  <c r="H288" i="6" s="1"/>
  <c r="G289" i="6"/>
  <c r="H289" i="6" s="1"/>
  <c r="G290" i="6"/>
  <c r="H290" i="6" s="1"/>
  <c r="G291" i="6"/>
  <c r="H291" i="6" s="1"/>
  <c r="G292" i="6"/>
  <c r="H292" i="6" s="1"/>
  <c r="G293" i="6"/>
  <c r="H293" i="6" s="1"/>
  <c r="G294" i="6"/>
  <c r="H294" i="6" s="1"/>
  <c r="G295" i="6"/>
  <c r="H295" i="6" s="1"/>
  <c r="G296" i="6"/>
  <c r="H296" i="6" s="1"/>
  <c r="G297" i="6"/>
  <c r="H297" i="6" s="1"/>
  <c r="G298" i="6"/>
  <c r="H298" i="6" s="1"/>
  <c r="G299" i="6"/>
  <c r="H299" i="6" s="1"/>
  <c r="G300" i="6"/>
  <c r="H300" i="6" s="1"/>
  <c r="G301" i="6"/>
  <c r="H301" i="6" s="1"/>
  <c r="G302" i="6"/>
  <c r="H302" i="6" s="1"/>
  <c r="G303" i="6"/>
  <c r="H303" i="6" s="1"/>
  <c r="G304" i="6"/>
  <c r="H304" i="6" s="1"/>
  <c r="G305" i="6"/>
  <c r="H305" i="6" s="1"/>
  <c r="G306" i="6"/>
  <c r="H306" i="6" s="1"/>
  <c r="G307" i="6"/>
  <c r="H307" i="6" s="1"/>
  <c r="G308" i="6"/>
  <c r="H308" i="6" s="1"/>
  <c r="G309" i="6"/>
  <c r="H309" i="6" s="1"/>
  <c r="G310" i="6"/>
  <c r="H310" i="6" s="1"/>
  <c r="G311" i="6"/>
  <c r="H311" i="6" s="1"/>
  <c r="G312" i="6"/>
  <c r="H312" i="6" s="1"/>
  <c r="G313" i="6"/>
  <c r="H313" i="6" s="1"/>
  <c r="G314" i="6"/>
  <c r="H314" i="6" s="1"/>
  <c r="G315" i="6"/>
  <c r="H315" i="6" s="1"/>
  <c r="G316" i="6"/>
  <c r="H316" i="6" s="1"/>
  <c r="G317" i="6"/>
  <c r="H317" i="6" s="1"/>
  <c r="G318" i="6"/>
  <c r="H318" i="6" s="1"/>
  <c r="G319" i="6"/>
  <c r="H319" i="6" s="1"/>
  <c r="G320" i="6"/>
  <c r="H320" i="6" s="1"/>
  <c r="G321" i="6"/>
  <c r="H321" i="6" s="1"/>
  <c r="G322" i="6"/>
  <c r="H322" i="6" s="1"/>
  <c r="G323" i="6"/>
  <c r="H323" i="6" s="1"/>
  <c r="G324" i="6"/>
  <c r="H324" i="6" s="1"/>
  <c r="G325" i="6"/>
  <c r="H325" i="6" s="1"/>
  <c r="G326" i="6"/>
  <c r="H326" i="6" s="1"/>
  <c r="G327" i="6"/>
  <c r="H327" i="6" s="1"/>
  <c r="G328" i="6"/>
  <c r="H328" i="6" s="1"/>
  <c r="G329" i="6"/>
  <c r="H329" i="6" s="1"/>
  <c r="G330" i="6"/>
  <c r="H330" i="6" s="1"/>
  <c r="G331" i="6"/>
  <c r="H331" i="6" s="1"/>
  <c r="G332" i="6"/>
  <c r="H332" i="6" s="1"/>
  <c r="G333" i="6"/>
  <c r="H333" i="6" s="1"/>
  <c r="G334" i="6"/>
  <c r="H334" i="6" s="1"/>
  <c r="G335" i="6"/>
  <c r="H335" i="6" s="1"/>
  <c r="G336" i="6"/>
  <c r="H336" i="6" s="1"/>
  <c r="G337" i="6"/>
  <c r="H337" i="6" s="1"/>
  <c r="G338" i="6"/>
  <c r="H338" i="6" s="1"/>
  <c r="G339" i="6"/>
  <c r="H339" i="6" s="1"/>
  <c r="G340" i="6"/>
  <c r="H340" i="6" s="1"/>
  <c r="G341" i="6"/>
  <c r="H341" i="6" s="1"/>
  <c r="G342" i="6"/>
  <c r="H342" i="6" s="1"/>
  <c r="G343" i="6"/>
  <c r="H343" i="6" s="1"/>
  <c r="G344" i="6"/>
  <c r="H344" i="6" s="1"/>
  <c r="G345" i="6"/>
  <c r="H345" i="6" s="1"/>
  <c r="G346" i="6"/>
  <c r="H346" i="6" s="1"/>
  <c r="G347" i="6"/>
  <c r="H347" i="6" s="1"/>
  <c r="G348" i="6"/>
  <c r="H348" i="6" s="1"/>
  <c r="G349" i="6"/>
  <c r="H349" i="6" s="1"/>
  <c r="G350" i="6"/>
  <c r="H350" i="6" s="1"/>
  <c r="G351" i="6"/>
  <c r="H351" i="6" s="1"/>
  <c r="G352" i="6"/>
  <c r="H352" i="6" s="1"/>
  <c r="G353" i="6"/>
  <c r="H353" i="6" s="1"/>
  <c r="G354" i="6"/>
  <c r="H354" i="6" s="1"/>
  <c r="G355" i="6"/>
  <c r="H355" i="6" s="1"/>
  <c r="G356" i="6"/>
  <c r="H356" i="6" s="1"/>
  <c r="G357" i="6"/>
  <c r="H357" i="6" s="1"/>
  <c r="G358" i="6"/>
  <c r="H358" i="6" s="1"/>
  <c r="G359" i="6"/>
  <c r="H359" i="6" s="1"/>
  <c r="G360" i="6"/>
  <c r="H360" i="6" s="1"/>
  <c r="G361" i="6"/>
  <c r="H361" i="6" s="1"/>
  <c r="G362" i="6"/>
  <c r="H362" i="6" s="1"/>
  <c r="G363" i="6"/>
  <c r="H363" i="6" s="1"/>
  <c r="G364" i="6"/>
  <c r="H364" i="6" s="1"/>
  <c r="G365" i="6"/>
  <c r="H365" i="6" s="1"/>
  <c r="G366" i="6"/>
  <c r="H366" i="6" s="1"/>
  <c r="G367" i="6"/>
  <c r="H367" i="6" s="1"/>
  <c r="G368" i="6"/>
  <c r="H368" i="6" s="1"/>
  <c r="G369" i="6"/>
  <c r="H369" i="6" s="1"/>
  <c r="G370" i="6"/>
  <c r="H370" i="6" s="1"/>
  <c r="G371" i="6"/>
  <c r="H371" i="6" s="1"/>
  <c r="G372" i="6"/>
  <c r="H372" i="6" s="1"/>
  <c r="G373" i="6"/>
  <c r="H373" i="6" s="1"/>
  <c r="G374" i="6"/>
  <c r="H374" i="6" s="1"/>
  <c r="G375" i="6"/>
  <c r="H375" i="6" s="1"/>
  <c r="G376" i="6"/>
  <c r="H376" i="6" s="1"/>
  <c r="G377" i="6"/>
  <c r="H377" i="6" s="1"/>
  <c r="G378" i="6"/>
  <c r="H378" i="6" s="1"/>
  <c r="G379" i="6"/>
  <c r="H379" i="6" s="1"/>
  <c r="G380" i="6"/>
  <c r="H380" i="6" s="1"/>
  <c r="G381" i="6"/>
  <c r="H381" i="6" s="1"/>
  <c r="G382" i="6"/>
  <c r="H382" i="6" s="1"/>
  <c r="G383" i="6"/>
  <c r="H383" i="6" s="1"/>
  <c r="G384" i="6"/>
  <c r="H384" i="6" s="1"/>
  <c r="G385" i="6"/>
  <c r="H385" i="6" s="1"/>
  <c r="G386" i="6"/>
  <c r="H386" i="6" s="1"/>
  <c r="G387" i="6"/>
  <c r="H387" i="6" s="1"/>
  <c r="G388" i="6"/>
  <c r="H388" i="6" s="1"/>
  <c r="G389" i="6"/>
  <c r="H389" i="6" s="1"/>
  <c r="G390" i="6"/>
  <c r="H390" i="6" s="1"/>
  <c r="G391" i="6"/>
  <c r="H391" i="6" s="1"/>
  <c r="G392" i="6"/>
  <c r="H392" i="6" s="1"/>
  <c r="G393" i="6"/>
  <c r="H393" i="6" s="1"/>
  <c r="G394" i="6"/>
  <c r="H394" i="6" s="1"/>
  <c r="G395" i="6"/>
  <c r="H395" i="6" s="1"/>
  <c r="G396" i="6"/>
  <c r="H396" i="6" s="1"/>
  <c r="G397" i="6"/>
  <c r="H397" i="6" s="1"/>
  <c r="G398" i="6"/>
  <c r="H398" i="6" s="1"/>
  <c r="G399" i="6"/>
  <c r="H399" i="6" s="1"/>
  <c r="G400" i="6"/>
  <c r="H400" i="6" s="1"/>
  <c r="G401" i="6"/>
  <c r="H401" i="6" s="1"/>
  <c r="G402" i="6"/>
  <c r="H402" i="6" s="1"/>
  <c r="G403" i="6"/>
  <c r="H403" i="6" s="1"/>
  <c r="G404" i="6"/>
  <c r="H404" i="6" s="1"/>
  <c r="G405" i="6"/>
  <c r="H405" i="6" s="1"/>
  <c r="G406" i="6"/>
  <c r="H406" i="6" s="1"/>
  <c r="G407" i="6"/>
  <c r="H407" i="6" s="1"/>
  <c r="G408" i="6"/>
  <c r="H408" i="6" s="1"/>
  <c r="G409" i="6"/>
  <c r="H409" i="6" s="1"/>
  <c r="G410" i="6"/>
  <c r="H410" i="6" s="1"/>
  <c r="G411" i="6"/>
  <c r="H411" i="6" s="1"/>
  <c r="G412" i="6"/>
  <c r="H412" i="6" s="1"/>
  <c r="G413" i="6"/>
  <c r="H413" i="6" s="1"/>
  <c r="G414" i="6"/>
  <c r="H414" i="6" s="1"/>
  <c r="G415" i="6"/>
  <c r="H415" i="6" s="1"/>
  <c r="G416" i="6"/>
  <c r="H416" i="6" s="1"/>
  <c r="G417" i="6"/>
  <c r="H417" i="6" s="1"/>
  <c r="G418" i="6"/>
  <c r="H418" i="6" s="1"/>
  <c r="G419" i="6"/>
  <c r="H419" i="6" s="1"/>
  <c r="G420" i="6"/>
  <c r="H420" i="6" s="1"/>
  <c r="G421" i="6"/>
  <c r="H421" i="6" s="1"/>
  <c r="G422" i="6"/>
  <c r="H422" i="6" s="1"/>
  <c r="G423" i="6"/>
  <c r="H423" i="6" s="1"/>
  <c r="G424" i="6"/>
  <c r="H424" i="6" s="1"/>
  <c r="G425" i="6"/>
  <c r="H425" i="6" s="1"/>
  <c r="G426" i="6"/>
  <c r="H426" i="6" s="1"/>
  <c r="G427" i="6"/>
  <c r="H427" i="6" s="1"/>
  <c r="G428" i="6"/>
  <c r="H428" i="6" s="1"/>
  <c r="G429" i="6"/>
  <c r="H429" i="6" s="1"/>
  <c r="G430" i="6"/>
  <c r="H430" i="6" s="1"/>
  <c r="G431" i="6"/>
  <c r="H431" i="6" s="1"/>
  <c r="G432" i="6"/>
  <c r="H432" i="6" s="1"/>
  <c r="G433" i="6"/>
  <c r="H433" i="6" s="1"/>
  <c r="G434" i="6"/>
  <c r="H434" i="6" s="1"/>
  <c r="G435" i="6"/>
  <c r="H435" i="6" s="1"/>
  <c r="G436" i="6"/>
  <c r="H436" i="6" s="1"/>
  <c r="G437" i="6"/>
  <c r="H437" i="6" s="1"/>
  <c r="G438" i="6"/>
  <c r="H438" i="6" s="1"/>
  <c r="G439" i="6"/>
  <c r="H439" i="6" s="1"/>
  <c r="G440" i="6"/>
  <c r="H440" i="6" s="1"/>
  <c r="G441" i="6"/>
  <c r="H441" i="6" s="1"/>
  <c r="G442" i="6"/>
  <c r="H442" i="6" s="1"/>
  <c r="G443" i="6"/>
  <c r="H443" i="6" s="1"/>
  <c r="G444" i="6"/>
  <c r="H444" i="6" s="1"/>
  <c r="G445" i="6"/>
  <c r="H445" i="6" s="1"/>
  <c r="G446" i="6"/>
  <c r="H446" i="6" s="1"/>
  <c r="G447" i="6"/>
  <c r="H447" i="6" s="1"/>
  <c r="G448" i="6"/>
  <c r="H448" i="6" s="1"/>
  <c r="G449" i="6"/>
  <c r="H449" i="6" s="1"/>
  <c r="G450" i="6"/>
  <c r="H450" i="6" s="1"/>
  <c r="G451" i="6"/>
  <c r="H451" i="6" s="1"/>
  <c r="G452" i="6"/>
  <c r="H452" i="6" s="1"/>
  <c r="G453" i="6"/>
  <c r="H453" i="6" s="1"/>
  <c r="G454" i="6"/>
  <c r="H454" i="6" s="1"/>
  <c r="G455" i="6"/>
  <c r="H455" i="6" s="1"/>
  <c r="G456" i="6"/>
  <c r="H456" i="6" s="1"/>
  <c r="G457" i="6"/>
  <c r="H457" i="6" s="1"/>
  <c r="G458" i="6"/>
  <c r="H458" i="6" s="1"/>
  <c r="G459" i="6"/>
  <c r="H459" i="6" s="1"/>
  <c r="G460" i="6"/>
  <c r="H460" i="6" s="1"/>
  <c r="G461" i="6"/>
  <c r="H461" i="6" s="1"/>
  <c r="G462" i="6"/>
  <c r="H462" i="6" s="1"/>
  <c r="G463" i="6"/>
  <c r="H463" i="6" s="1"/>
  <c r="G464" i="6"/>
  <c r="H464" i="6" s="1"/>
  <c r="G465" i="6"/>
  <c r="H465" i="6" s="1"/>
  <c r="G466" i="6"/>
  <c r="H466" i="6" s="1"/>
  <c r="G467" i="6"/>
  <c r="H467" i="6" s="1"/>
  <c r="G468" i="6"/>
  <c r="H468" i="6" s="1"/>
  <c r="G469" i="6"/>
  <c r="H469" i="6" s="1"/>
  <c r="G470" i="6"/>
  <c r="H470" i="6" s="1"/>
  <c r="G471" i="6"/>
  <c r="H471" i="6" s="1"/>
  <c r="G472" i="6"/>
  <c r="H472" i="6" s="1"/>
  <c r="G473" i="6"/>
  <c r="H473" i="6" s="1"/>
  <c r="G474" i="6"/>
  <c r="H474" i="6" s="1"/>
  <c r="G475" i="6"/>
  <c r="H475" i="6" s="1"/>
  <c r="G476" i="6"/>
  <c r="H476" i="6" s="1"/>
  <c r="G477" i="6"/>
  <c r="H477" i="6" s="1"/>
  <c r="G478" i="6"/>
  <c r="H478" i="6" s="1"/>
  <c r="G479" i="6"/>
  <c r="H479" i="6" s="1"/>
  <c r="G480" i="6"/>
  <c r="H480" i="6" s="1"/>
  <c r="G481" i="6"/>
  <c r="H481" i="6" s="1"/>
  <c r="G482" i="6"/>
  <c r="H482" i="6" s="1"/>
  <c r="G483" i="6"/>
  <c r="H483" i="6" s="1"/>
  <c r="G484" i="6"/>
  <c r="H484" i="6" s="1"/>
  <c r="G485" i="6"/>
  <c r="H485" i="6" s="1"/>
  <c r="G486" i="6"/>
  <c r="H486" i="6" s="1"/>
  <c r="G487" i="6"/>
  <c r="H487" i="6" s="1"/>
  <c r="G488" i="6"/>
  <c r="H488" i="6" s="1"/>
  <c r="G489" i="6"/>
  <c r="H489" i="6" s="1"/>
  <c r="G490" i="6"/>
  <c r="H490" i="6" s="1"/>
  <c r="G491" i="6"/>
  <c r="H491" i="6" s="1"/>
  <c r="G492" i="6"/>
  <c r="H492" i="6" s="1"/>
  <c r="G493" i="6"/>
  <c r="H493" i="6" s="1"/>
  <c r="G494" i="6"/>
  <c r="H494" i="6" s="1"/>
  <c r="G495" i="6"/>
  <c r="H495" i="6" s="1"/>
  <c r="G496" i="6"/>
  <c r="H496" i="6" s="1"/>
  <c r="G497" i="6"/>
  <c r="H497" i="6" s="1"/>
  <c r="G498" i="6"/>
  <c r="H498" i="6" s="1"/>
  <c r="G499" i="6"/>
  <c r="H499" i="6" s="1"/>
  <c r="G500" i="6"/>
  <c r="H500" i="6" s="1"/>
  <c r="G501" i="6"/>
  <c r="H501" i="6" s="1"/>
  <c r="G502" i="6"/>
  <c r="H502" i="6" s="1"/>
  <c r="G503" i="6"/>
  <c r="H503" i="6" s="1"/>
  <c r="G504" i="6"/>
  <c r="H504" i="6" s="1"/>
  <c r="G505" i="6"/>
  <c r="H505" i="6" s="1"/>
  <c r="G506" i="6"/>
  <c r="H506" i="6" s="1"/>
  <c r="G7" i="6"/>
  <c r="H7" i="6" s="1"/>
  <c r="M256" i="9" l="1"/>
  <c r="M252" i="9"/>
  <c r="M234" i="9"/>
  <c r="M216" i="9"/>
  <c r="M212" i="9"/>
  <c r="M194" i="9"/>
  <c r="M176" i="9"/>
  <c r="M172" i="9"/>
  <c r="M154" i="9"/>
  <c r="M136" i="9"/>
  <c r="M132" i="9"/>
  <c r="M114" i="9"/>
  <c r="M96" i="9"/>
  <c r="M92" i="9"/>
  <c r="M74" i="9"/>
  <c r="M56" i="9"/>
  <c r="M52" i="9"/>
  <c r="M34" i="9"/>
  <c r="M16" i="9"/>
  <c r="M12" i="9"/>
  <c r="C18" i="16"/>
  <c r="L15" i="6"/>
  <c r="D63" i="9"/>
  <c r="M255" i="9"/>
  <c r="M233" i="9"/>
  <c r="M215" i="9"/>
  <c r="M193" i="9"/>
  <c r="M175" i="9"/>
  <c r="M153" i="9"/>
  <c r="M135" i="9"/>
  <c r="M113" i="9"/>
  <c r="M95" i="9"/>
  <c r="M73" i="9"/>
  <c r="M55" i="9"/>
  <c r="M33" i="9"/>
  <c r="M15" i="9"/>
  <c r="C17" i="16"/>
  <c r="L12" i="6"/>
  <c r="L16" i="6"/>
  <c r="D263" i="9"/>
  <c r="D255" i="9"/>
  <c r="D236" i="9"/>
  <c r="M254" i="9"/>
  <c r="M236" i="9"/>
  <c r="M232" i="9"/>
  <c r="M214" i="9"/>
  <c r="M196" i="9"/>
  <c r="M192" i="9"/>
  <c r="M174" i="9"/>
  <c r="M156" i="9"/>
  <c r="M152" i="9"/>
  <c r="M134" i="9"/>
  <c r="M116" i="9"/>
  <c r="M112" i="9"/>
  <c r="M94" i="9"/>
  <c r="M76" i="9"/>
  <c r="M72" i="9"/>
  <c r="M54" i="9"/>
  <c r="M36" i="9"/>
  <c r="M32" i="9"/>
  <c r="M14" i="9"/>
  <c r="C16" i="16"/>
  <c r="D260" i="9"/>
  <c r="D252" i="9"/>
  <c r="D232" i="9"/>
  <c r="D200" i="9"/>
  <c r="M20" i="9"/>
  <c r="M253" i="9"/>
  <c r="M235" i="9"/>
  <c r="M213" i="9"/>
  <c r="M195" i="9"/>
  <c r="M173" i="9"/>
  <c r="M155" i="9"/>
  <c r="M133" i="9"/>
  <c r="M115" i="9"/>
  <c r="M93" i="9"/>
  <c r="M75" i="9"/>
  <c r="M53" i="9"/>
  <c r="M35" i="9"/>
  <c r="D240" i="9"/>
  <c r="D224" i="9"/>
  <c r="D179" i="9"/>
  <c r="M263" i="9"/>
  <c r="M259" i="9"/>
  <c r="M243" i="9"/>
  <c r="M239" i="9"/>
  <c r="M223" i="9"/>
  <c r="M219" i="9"/>
  <c r="M203" i="9"/>
  <c r="M199" i="9"/>
  <c r="M183" i="9"/>
  <c r="M179" i="9"/>
  <c r="M163" i="9"/>
  <c r="M159" i="9"/>
  <c r="M143" i="9"/>
  <c r="M139" i="9"/>
  <c r="M123" i="9"/>
  <c r="M119" i="9"/>
  <c r="M103" i="9"/>
  <c r="M99" i="9"/>
  <c r="M83" i="9"/>
  <c r="M79" i="9"/>
  <c r="M63" i="9"/>
  <c r="M59" i="9"/>
  <c r="M43" i="9"/>
  <c r="M39" i="9"/>
  <c r="M23" i="9"/>
  <c r="M19" i="9"/>
  <c r="C27" i="16"/>
  <c r="C23" i="16"/>
  <c r="L17" i="6"/>
  <c r="L21" i="6"/>
  <c r="L25" i="6"/>
  <c r="D160" i="9"/>
  <c r="M262" i="9"/>
  <c r="M258" i="9"/>
  <c r="M246" i="9"/>
  <c r="M242" i="9"/>
  <c r="M238" i="9"/>
  <c r="M226" i="9"/>
  <c r="M222" i="9"/>
  <c r="M218" i="9"/>
  <c r="M206" i="9"/>
  <c r="M202" i="9"/>
  <c r="M198" i="9"/>
  <c r="M186" i="9"/>
  <c r="M182" i="9"/>
  <c r="M178" i="9"/>
  <c r="M166" i="9"/>
  <c r="M162" i="9"/>
  <c r="M158" i="9"/>
  <c r="M146" i="9"/>
  <c r="M142" i="9"/>
  <c r="M138" i="9"/>
  <c r="M126" i="9"/>
  <c r="M122" i="9"/>
  <c r="M118" i="9"/>
  <c r="M106" i="9"/>
  <c r="M102" i="9"/>
  <c r="M98" i="9"/>
  <c r="M86" i="9"/>
  <c r="M82" i="9"/>
  <c r="M78" i="9"/>
  <c r="M66" i="9"/>
  <c r="M62" i="9"/>
  <c r="M58" i="9"/>
  <c r="M46" i="9"/>
  <c r="M42" i="9"/>
  <c r="M38" i="9"/>
  <c r="M26" i="9"/>
  <c r="M22" i="9"/>
  <c r="M18" i="9"/>
  <c r="C30" i="16"/>
  <c r="C26" i="16"/>
  <c r="C22" i="16"/>
  <c r="B5" i="15"/>
  <c r="M265" i="9"/>
  <c r="M261" i="9"/>
  <c r="M257" i="9"/>
  <c r="M245" i="9"/>
  <c r="M241" i="9"/>
  <c r="M237" i="9"/>
  <c r="M225" i="9"/>
  <c r="M221" i="9"/>
  <c r="M217" i="9"/>
  <c r="M205" i="9"/>
  <c r="M201" i="9"/>
  <c r="M197" i="9"/>
  <c r="M185" i="9"/>
  <c r="M181" i="9"/>
  <c r="M177" i="9"/>
  <c r="M165" i="9"/>
  <c r="M161" i="9"/>
  <c r="M157" i="9"/>
  <c r="M145" i="9"/>
  <c r="M141" i="9"/>
  <c r="M137" i="9"/>
  <c r="M125" i="9"/>
  <c r="M121" i="9"/>
  <c r="M117" i="9"/>
  <c r="M105" i="9"/>
  <c r="M101" i="9"/>
  <c r="M97" i="9"/>
  <c r="M85" i="9"/>
  <c r="M81" i="9"/>
  <c r="M77" i="9"/>
  <c r="M65" i="9"/>
  <c r="M61" i="9"/>
  <c r="M57" i="9"/>
  <c r="M45" i="9"/>
  <c r="M41" i="9"/>
  <c r="M37" i="9"/>
  <c r="M25" i="9"/>
  <c r="M21" i="9"/>
  <c r="M17" i="9"/>
  <c r="C21" i="16"/>
  <c r="M264" i="9"/>
  <c r="M260" i="9"/>
  <c r="M244" i="9"/>
  <c r="M240" i="9"/>
  <c r="M224" i="9"/>
  <c r="M220" i="9"/>
  <c r="M204" i="9"/>
  <c r="M200" i="9"/>
  <c r="M184" i="9"/>
  <c r="M180" i="9"/>
  <c r="M164" i="9"/>
  <c r="M160" i="9"/>
  <c r="M144" i="9"/>
  <c r="M140" i="9"/>
  <c r="M124" i="9"/>
  <c r="M120" i="9"/>
  <c r="M104" i="9"/>
  <c r="M100" i="9"/>
  <c r="M84" i="9"/>
  <c r="M80" i="9"/>
  <c r="M64" i="9"/>
  <c r="M60" i="9"/>
  <c r="M44" i="9"/>
  <c r="M40" i="9"/>
  <c r="M24" i="9"/>
  <c r="C28" i="16"/>
  <c r="C24" i="16"/>
  <c r="D118" i="9"/>
  <c r="D139" i="9"/>
  <c r="D95" i="9"/>
  <c r="D39" i="9"/>
  <c r="D251" i="9"/>
  <c r="D211" i="9"/>
  <c r="D195" i="9"/>
  <c r="I194" i="9"/>
  <c r="D247" i="9"/>
  <c r="D239" i="9"/>
  <c r="D231" i="9"/>
  <c r="D219" i="9"/>
  <c r="D203" i="9"/>
  <c r="D183" i="9"/>
  <c r="D144" i="9"/>
  <c r="D102" i="9"/>
  <c r="D31" i="9"/>
  <c r="D243" i="9"/>
  <c r="D235" i="9"/>
  <c r="D227" i="9"/>
  <c r="D166" i="9"/>
  <c r="D123" i="9"/>
  <c r="D71" i="9"/>
  <c r="I226" i="9"/>
  <c r="I258" i="9"/>
  <c r="I130" i="9"/>
  <c r="D223" i="9"/>
  <c r="D215" i="9"/>
  <c r="D207" i="9"/>
  <c r="D199" i="9"/>
  <c r="D191" i="9"/>
  <c r="D175" i="9"/>
  <c r="D155" i="9"/>
  <c r="D134" i="9"/>
  <c r="D112" i="9"/>
  <c r="D87" i="9"/>
  <c r="D55" i="9"/>
  <c r="D23" i="9"/>
  <c r="I250" i="9"/>
  <c r="I218" i="9"/>
  <c r="I186" i="9"/>
  <c r="I154" i="9"/>
  <c r="D220" i="9"/>
  <c r="D212" i="9"/>
  <c r="D204" i="9"/>
  <c r="D196" i="9"/>
  <c r="D187" i="9"/>
  <c r="D171" i="9"/>
  <c r="D150" i="9"/>
  <c r="D128" i="9"/>
  <c r="D107" i="9"/>
  <c r="D79" i="9"/>
  <c r="D47" i="9"/>
  <c r="D15" i="9"/>
  <c r="I242" i="9"/>
  <c r="I210" i="9"/>
  <c r="I178" i="9"/>
  <c r="I146" i="9"/>
  <c r="I234" i="9"/>
  <c r="I202" i="9"/>
  <c r="I170" i="9"/>
  <c r="I138" i="9"/>
  <c r="I102" i="9"/>
  <c r="I122" i="9"/>
  <c r="I114" i="9"/>
  <c r="D262" i="9"/>
  <c r="D258" i="9"/>
  <c r="D254" i="9"/>
  <c r="D250" i="9"/>
  <c r="D246" i="9"/>
  <c r="D242" i="9"/>
  <c r="D238" i="9"/>
  <c r="D234" i="9"/>
  <c r="D230" i="9"/>
  <c r="D226" i="9"/>
  <c r="D222" i="9"/>
  <c r="D218" i="9"/>
  <c r="D214" i="9"/>
  <c r="D210" i="9"/>
  <c r="D206" i="9"/>
  <c r="D202" i="9"/>
  <c r="D198" i="9"/>
  <c r="D194" i="9"/>
  <c r="D190" i="9"/>
  <c r="D186" i="9"/>
  <c r="D182" i="9"/>
  <c r="D178" i="9"/>
  <c r="D174" i="9"/>
  <c r="D170" i="9"/>
  <c r="D164" i="9"/>
  <c r="D159" i="9"/>
  <c r="D154" i="9"/>
  <c r="D148" i="9"/>
  <c r="D143" i="9"/>
  <c r="D138" i="9"/>
  <c r="D132" i="9"/>
  <c r="D127" i="9"/>
  <c r="D122" i="9"/>
  <c r="D116" i="9"/>
  <c r="D111" i="9"/>
  <c r="D106" i="9"/>
  <c r="D100" i="9"/>
  <c r="D94" i="9"/>
  <c r="D86" i="9"/>
  <c r="D78" i="9"/>
  <c r="D70" i="9"/>
  <c r="D62" i="9"/>
  <c r="D54" i="9"/>
  <c r="D46" i="9"/>
  <c r="D38" i="9"/>
  <c r="D30" i="9"/>
  <c r="D22" i="9"/>
  <c r="D14" i="9"/>
  <c r="I265" i="9"/>
  <c r="I257" i="9"/>
  <c r="I249" i="9"/>
  <c r="I241" i="9"/>
  <c r="I233" i="9"/>
  <c r="I225" i="9"/>
  <c r="I217" i="9"/>
  <c r="I209" i="9"/>
  <c r="I201" i="9"/>
  <c r="I193" i="9"/>
  <c r="I185" i="9"/>
  <c r="I177" i="9"/>
  <c r="I169" i="9"/>
  <c r="I161" i="9"/>
  <c r="I153" i="9"/>
  <c r="I145" i="9"/>
  <c r="I137" i="9"/>
  <c r="I129" i="9"/>
  <c r="I121" i="9"/>
  <c r="I113" i="9"/>
  <c r="I101" i="9"/>
  <c r="G19" i="6"/>
  <c r="H19" i="6" s="1"/>
  <c r="I139" i="9" s="1"/>
  <c r="D265" i="9"/>
  <c r="D261" i="9"/>
  <c r="D257" i="9"/>
  <c r="D253" i="9"/>
  <c r="D249" i="9"/>
  <c r="D245" i="9"/>
  <c r="D241" i="9"/>
  <c r="D237" i="9"/>
  <c r="D233" i="9"/>
  <c r="D229" i="9"/>
  <c r="D225" i="9"/>
  <c r="D221" i="9"/>
  <c r="D217" i="9"/>
  <c r="D213" i="9"/>
  <c r="D209" i="9"/>
  <c r="D205" i="9"/>
  <c r="D201" i="9"/>
  <c r="D197" i="9"/>
  <c r="D193" i="9"/>
  <c r="D189" i="9"/>
  <c r="D185" i="9"/>
  <c r="D181" i="9"/>
  <c r="D177" i="9"/>
  <c r="D173" i="9"/>
  <c r="D168" i="9"/>
  <c r="D163" i="9"/>
  <c r="D158" i="9"/>
  <c r="D152" i="9"/>
  <c r="D147" i="9"/>
  <c r="D142" i="9"/>
  <c r="D136" i="9"/>
  <c r="D131" i="9"/>
  <c r="D126" i="9"/>
  <c r="D120" i="9"/>
  <c r="D115" i="9"/>
  <c r="D110" i="9"/>
  <c r="D104" i="9"/>
  <c r="D99" i="9"/>
  <c r="D91" i="9"/>
  <c r="D83" i="9"/>
  <c r="D75" i="9"/>
  <c r="D67" i="9"/>
  <c r="D59" i="9"/>
  <c r="D51" i="9"/>
  <c r="D43" i="9"/>
  <c r="D35" i="9"/>
  <c r="D27" i="9"/>
  <c r="D19" i="9"/>
  <c r="D11" i="9"/>
  <c r="I262" i="9"/>
  <c r="I254" i="9"/>
  <c r="I246" i="9"/>
  <c r="I238" i="9"/>
  <c r="I230" i="9"/>
  <c r="I222" i="9"/>
  <c r="I214" i="9"/>
  <c r="I206" i="9"/>
  <c r="I198" i="9"/>
  <c r="I190" i="9"/>
  <c r="I182" i="9"/>
  <c r="I174" i="9"/>
  <c r="I166" i="9"/>
  <c r="I158" i="9"/>
  <c r="I150" i="9"/>
  <c r="I142" i="9"/>
  <c r="I134" i="9"/>
  <c r="I126" i="9"/>
  <c r="I118" i="9"/>
  <c r="I110" i="9"/>
  <c r="I85" i="9"/>
  <c r="I105" i="9"/>
  <c r="I93" i="9"/>
  <c r="D188" i="9"/>
  <c r="D184" i="9"/>
  <c r="D180" i="9"/>
  <c r="D176" i="9"/>
  <c r="D172" i="9"/>
  <c r="D167" i="9"/>
  <c r="D162" i="9"/>
  <c r="D156" i="9"/>
  <c r="D151" i="9"/>
  <c r="D146" i="9"/>
  <c r="D140" i="9"/>
  <c r="D135" i="9"/>
  <c r="D130" i="9"/>
  <c r="D124" i="9"/>
  <c r="D119" i="9"/>
  <c r="D114" i="9"/>
  <c r="D108" i="9"/>
  <c r="D103" i="9"/>
  <c r="D98" i="9"/>
  <c r="D90" i="9"/>
  <c r="D82" i="9"/>
  <c r="D74" i="9"/>
  <c r="D66" i="9"/>
  <c r="D58" i="9"/>
  <c r="D50" i="9"/>
  <c r="D42" i="9"/>
  <c r="D34" i="9"/>
  <c r="D26" i="9"/>
  <c r="D18" i="9"/>
  <c r="D10" i="9"/>
  <c r="I261" i="9"/>
  <c r="I253" i="9"/>
  <c r="I245" i="9"/>
  <c r="I237" i="9"/>
  <c r="I229" i="9"/>
  <c r="I221" i="9"/>
  <c r="I213" i="9"/>
  <c r="I205" i="9"/>
  <c r="I197" i="9"/>
  <c r="I189" i="9"/>
  <c r="I181" i="9"/>
  <c r="I173" i="9"/>
  <c r="I165" i="9"/>
  <c r="I157" i="9"/>
  <c r="I149" i="9"/>
  <c r="I141" i="9"/>
  <c r="I133" i="9"/>
  <c r="I125" i="9"/>
  <c r="I117" i="9"/>
  <c r="I109" i="9"/>
  <c r="I106" i="9"/>
  <c r="I95" i="9"/>
  <c r="I41" i="9"/>
  <c r="I87" i="9"/>
  <c r="I97" i="9"/>
  <c r="I103" i="9"/>
  <c r="I107" i="9"/>
  <c r="I111" i="9"/>
  <c r="I115" i="9"/>
  <c r="I119" i="9"/>
  <c r="I123" i="9"/>
  <c r="I127" i="9"/>
  <c r="I131" i="9"/>
  <c r="I135" i="9"/>
  <c r="I143" i="9"/>
  <c r="I147" i="9"/>
  <c r="I151" i="9"/>
  <c r="I155" i="9"/>
  <c r="I163" i="9"/>
  <c r="I167" i="9"/>
  <c r="I171" i="9"/>
  <c r="I175" i="9"/>
  <c r="I183" i="9"/>
  <c r="I187" i="9"/>
  <c r="I191" i="9"/>
  <c r="I195" i="9"/>
  <c r="I199" i="9"/>
  <c r="I203" i="9"/>
  <c r="I207" i="9"/>
  <c r="I211" i="9"/>
  <c r="I215" i="9"/>
  <c r="I223" i="9"/>
  <c r="I227" i="9"/>
  <c r="I231" i="9"/>
  <c r="I235" i="9"/>
  <c r="I243" i="9"/>
  <c r="I247" i="9"/>
  <c r="I251" i="9"/>
  <c r="I255" i="9"/>
  <c r="I263" i="9"/>
  <c r="D8" i="9"/>
  <c r="D12" i="9"/>
  <c r="D16" i="9"/>
  <c r="D20" i="9"/>
  <c r="D24" i="9"/>
  <c r="D28" i="9"/>
  <c r="D32" i="9"/>
  <c r="D36" i="9"/>
  <c r="D40" i="9"/>
  <c r="D44" i="9"/>
  <c r="D48" i="9"/>
  <c r="D52" i="9"/>
  <c r="D56" i="9"/>
  <c r="D60" i="9"/>
  <c r="D64" i="9"/>
  <c r="D68" i="9"/>
  <c r="D72" i="9"/>
  <c r="D76" i="9"/>
  <c r="D80" i="9"/>
  <c r="D84" i="9"/>
  <c r="D88" i="9"/>
  <c r="D92" i="9"/>
  <c r="D96" i="9"/>
  <c r="I70" i="9"/>
  <c r="I90" i="9"/>
  <c r="I104" i="9"/>
  <c r="I108" i="9"/>
  <c r="I112" i="9"/>
  <c r="I116" i="9"/>
  <c r="I120" i="9"/>
  <c r="I124" i="9"/>
  <c r="I128" i="9"/>
  <c r="I132" i="9"/>
  <c r="I136" i="9"/>
  <c r="I140" i="9"/>
  <c r="I144" i="9"/>
  <c r="I148" i="9"/>
  <c r="I152" i="9"/>
  <c r="I156" i="9"/>
  <c r="I160" i="9"/>
  <c r="I164" i="9"/>
  <c r="I168" i="9"/>
  <c r="I172" i="9"/>
  <c r="I176" i="9"/>
  <c r="I180" i="9"/>
  <c r="I184" i="9"/>
  <c r="I188" i="9"/>
  <c r="I192" i="9"/>
  <c r="I196" i="9"/>
  <c r="I200" i="9"/>
  <c r="I204" i="9"/>
  <c r="I208" i="9"/>
  <c r="I212" i="9"/>
  <c r="I216" i="9"/>
  <c r="I220" i="9"/>
  <c r="I224" i="9"/>
  <c r="I228" i="9"/>
  <c r="I232" i="9"/>
  <c r="I236" i="9"/>
  <c r="I240" i="9"/>
  <c r="I244" i="9"/>
  <c r="I248" i="9"/>
  <c r="I252" i="9"/>
  <c r="I256" i="9"/>
  <c r="I260" i="9"/>
  <c r="I264" i="9"/>
  <c r="D9" i="9"/>
  <c r="D13" i="9"/>
  <c r="D17" i="9"/>
  <c r="D21" i="9"/>
  <c r="D25" i="9"/>
  <c r="D29" i="9"/>
  <c r="D33" i="9"/>
  <c r="D37" i="9"/>
  <c r="D41" i="9"/>
  <c r="D45" i="9"/>
  <c r="D49" i="9"/>
  <c r="D53" i="9"/>
  <c r="D57" i="9"/>
  <c r="D61" i="9"/>
  <c r="D65" i="9"/>
  <c r="D69" i="9"/>
  <c r="D73" i="9"/>
  <c r="D77" i="9"/>
  <c r="D81" i="9"/>
  <c r="D85" i="9"/>
  <c r="D89" i="9"/>
  <c r="D93" i="9"/>
  <c r="D97" i="9"/>
  <c r="D101" i="9"/>
  <c r="D105" i="9"/>
  <c r="D109" i="9"/>
  <c r="D113" i="9"/>
  <c r="D117" i="9"/>
  <c r="D121" i="9"/>
  <c r="D125" i="9"/>
  <c r="D129" i="9"/>
  <c r="D133" i="9"/>
  <c r="D137" i="9"/>
  <c r="D141" i="9"/>
  <c r="D145" i="9"/>
  <c r="D149" i="9"/>
  <c r="D153" i="9"/>
  <c r="D157" i="9"/>
  <c r="D161" i="9"/>
  <c r="D165" i="9"/>
  <c r="D169" i="9"/>
  <c r="I81" i="9"/>
  <c r="I54" i="9"/>
  <c r="I100" i="9"/>
  <c r="I96" i="9"/>
  <c r="I91" i="9"/>
  <c r="I86" i="9"/>
  <c r="I77" i="9"/>
  <c r="I98" i="9"/>
  <c r="I94" i="9"/>
  <c r="I89" i="9"/>
  <c r="I82" i="9"/>
  <c r="I61" i="9"/>
  <c r="I83" i="9"/>
  <c r="I78" i="9"/>
  <c r="I65" i="9"/>
  <c r="I74" i="9"/>
  <c r="I49" i="9"/>
  <c r="I69" i="9"/>
  <c r="I57" i="9"/>
  <c r="I10" i="9"/>
  <c r="I73" i="9"/>
  <c r="I62" i="9"/>
  <c r="I53" i="9"/>
  <c r="I37" i="9"/>
  <c r="I66" i="9"/>
  <c r="I58" i="9"/>
  <c r="I50" i="9"/>
  <c r="I25" i="9"/>
  <c r="I29" i="9"/>
  <c r="I92" i="9"/>
  <c r="I88" i="9"/>
  <c r="I84" i="9"/>
  <c r="I80" i="9"/>
  <c r="I76" i="9"/>
  <c r="I72" i="9"/>
  <c r="I68" i="9"/>
  <c r="I64" i="9"/>
  <c r="I60" i="9"/>
  <c r="I56" i="9"/>
  <c r="I52" i="9"/>
  <c r="I47" i="9"/>
  <c r="I33" i="9"/>
  <c r="I75" i="9"/>
  <c r="I71" i="9"/>
  <c r="I67" i="9"/>
  <c r="I63" i="9"/>
  <c r="I55" i="9"/>
  <c r="I51" i="9"/>
  <c r="I45" i="9"/>
  <c r="I14" i="9"/>
  <c r="I48" i="9"/>
  <c r="I42" i="9"/>
  <c r="I34" i="9"/>
  <c r="I26" i="9"/>
  <c r="I46" i="9"/>
  <c r="I38" i="9"/>
  <c r="I30" i="9"/>
  <c r="I18" i="9"/>
  <c r="I44" i="9"/>
  <c r="I40" i="9"/>
  <c r="I36" i="9"/>
  <c r="I32" i="9"/>
  <c r="I28" i="9"/>
  <c r="I24" i="9"/>
  <c r="I43" i="9"/>
  <c r="I35" i="9"/>
  <c r="I31" i="9"/>
  <c r="I27" i="9"/>
  <c r="I22" i="9"/>
  <c r="I7" i="9"/>
  <c r="I21" i="9"/>
  <c r="I17" i="9"/>
  <c r="I13" i="9"/>
  <c r="I9" i="9"/>
  <c r="I20" i="9"/>
  <c r="I16" i="9"/>
  <c r="I12" i="9"/>
  <c r="I8" i="9"/>
  <c r="I23" i="9"/>
  <c r="I15" i="9"/>
  <c r="I11" i="9"/>
  <c r="N19" i="15"/>
  <c r="O19" i="15"/>
  <c r="I79" i="9" l="1"/>
  <c r="I39" i="9"/>
  <c r="I59" i="9"/>
  <c r="I259" i="9"/>
  <c r="I179" i="9"/>
  <c r="I99" i="9"/>
  <c r="I239" i="9"/>
  <c r="I159" i="9"/>
  <c r="I19" i="9"/>
  <c r="I219" i="9"/>
  <c r="F5" i="15"/>
  <c r="D5" i="15" s="1"/>
  <c r="N10" i="15"/>
  <c r="R9" i="15" s="1"/>
  <c r="B153" i="14"/>
  <c r="C153" i="14"/>
  <c r="D153" i="14"/>
  <c r="E153" i="14"/>
  <c r="F153" i="14"/>
  <c r="G153" i="14"/>
  <c r="H153" i="14"/>
  <c r="I153" i="14"/>
  <c r="J153" i="14"/>
  <c r="K153" i="14"/>
  <c r="L153" i="14"/>
  <c r="M153" i="14"/>
  <c r="N153" i="14"/>
  <c r="O153" i="14"/>
  <c r="B164" i="14"/>
  <c r="O164" i="14"/>
  <c r="B110" i="14"/>
  <c r="C110" i="14"/>
  <c r="D110" i="14"/>
  <c r="E110" i="14"/>
  <c r="F110" i="14"/>
  <c r="G110" i="14"/>
  <c r="H110" i="14"/>
  <c r="I110" i="14"/>
  <c r="J110" i="14"/>
  <c r="K110" i="14"/>
  <c r="L110" i="14"/>
  <c r="M110" i="14"/>
  <c r="N110" i="14"/>
  <c r="O110" i="14"/>
  <c r="B121" i="14"/>
  <c r="O121" i="14"/>
  <c r="B67" i="14"/>
  <c r="C67" i="14"/>
  <c r="D67" i="14"/>
  <c r="E67" i="14"/>
  <c r="F67" i="14"/>
  <c r="G67" i="14"/>
  <c r="H67" i="14"/>
  <c r="I67" i="14"/>
  <c r="J67" i="14"/>
  <c r="K67" i="14"/>
  <c r="L67" i="14"/>
  <c r="M67" i="14"/>
  <c r="N67" i="14"/>
  <c r="O67" i="14"/>
  <c r="B78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B35" i="14"/>
  <c r="O21" i="14"/>
  <c r="R8" i="15" l="1"/>
  <c r="R16" i="15" s="1"/>
  <c r="Z9" i="15"/>
  <c r="Y9" i="15"/>
  <c r="W9" i="15"/>
  <c r="X9" i="15"/>
  <c r="V9" i="15"/>
  <c r="U9" i="15"/>
  <c r="T9" i="15"/>
  <c r="S9" i="15"/>
  <c r="Q9" i="15"/>
  <c r="P9" i="15"/>
  <c r="O9" i="15"/>
  <c r="G6" i="16"/>
  <c r="AE7" i="16" s="1"/>
  <c r="AF7" i="16" s="1"/>
  <c r="C6" i="13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2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4" i="16"/>
  <c r="B245" i="16"/>
  <c r="B246" i="16"/>
  <c r="B247" i="16"/>
  <c r="B248" i="16"/>
  <c r="B249" i="16"/>
  <c r="B250" i="16"/>
  <c r="B251" i="16"/>
  <c r="B252" i="16"/>
  <c r="B253" i="16"/>
  <c r="B254" i="16"/>
  <c r="B255" i="16"/>
  <c r="B256" i="16"/>
  <c r="B257" i="16"/>
  <c r="B258" i="16"/>
  <c r="B259" i="16"/>
  <c r="B260" i="16"/>
  <c r="B261" i="16"/>
  <c r="B262" i="16"/>
  <c r="B263" i="16"/>
  <c r="B264" i="16"/>
  <c r="B265" i="16"/>
  <c r="B266" i="16"/>
  <c r="B267" i="16"/>
  <c r="B268" i="16"/>
  <c r="B269" i="16"/>
  <c r="B270" i="16"/>
  <c r="B271" i="16"/>
  <c r="B272" i="16"/>
  <c r="B273" i="16"/>
  <c r="B274" i="16"/>
  <c r="B275" i="16"/>
  <c r="B276" i="16"/>
  <c r="B277" i="16"/>
  <c r="B278" i="16"/>
  <c r="B279" i="16"/>
  <c r="B280" i="16"/>
  <c r="B281" i="16"/>
  <c r="B282" i="16"/>
  <c r="B283" i="16"/>
  <c r="B284" i="16"/>
  <c r="B285" i="16"/>
  <c r="B286" i="16"/>
  <c r="B287" i="16"/>
  <c r="B288" i="16"/>
  <c r="B289" i="16"/>
  <c r="B290" i="16"/>
  <c r="B291" i="16"/>
  <c r="B292" i="16"/>
  <c r="B293" i="16"/>
  <c r="B294" i="16"/>
  <c r="B295" i="16"/>
  <c r="B296" i="16"/>
  <c r="B297" i="16"/>
  <c r="B298" i="16"/>
  <c r="B299" i="16"/>
  <c r="B300" i="16"/>
  <c r="B301" i="16"/>
  <c r="B302" i="16"/>
  <c r="B303" i="16"/>
  <c r="B304" i="16"/>
  <c r="B305" i="16"/>
  <c r="B306" i="16"/>
  <c r="B307" i="16"/>
  <c r="B308" i="16"/>
  <c r="B309" i="16"/>
  <c r="B310" i="16"/>
  <c r="B311" i="16"/>
  <c r="B312" i="16"/>
  <c r="B313" i="16"/>
  <c r="B314" i="16"/>
  <c r="B315" i="16"/>
  <c r="B316" i="16"/>
  <c r="B317" i="16"/>
  <c r="B318" i="16"/>
  <c r="B319" i="16"/>
  <c r="B320" i="16"/>
  <c r="B321" i="16"/>
  <c r="B322" i="16"/>
  <c r="B323" i="16"/>
  <c r="B324" i="16"/>
  <c r="B325" i="16"/>
  <c r="B326" i="16"/>
  <c r="B327" i="16"/>
  <c r="B328" i="16"/>
  <c r="B329" i="16"/>
  <c r="B330" i="16"/>
  <c r="B331" i="16"/>
  <c r="B332" i="16"/>
  <c r="B333" i="16"/>
  <c r="B334" i="16"/>
  <c r="B335" i="16"/>
  <c r="B336" i="16"/>
  <c r="B337" i="16"/>
  <c r="B338" i="16"/>
  <c r="B339" i="16"/>
  <c r="B340" i="16"/>
  <c r="B341" i="16"/>
  <c r="B342" i="16"/>
  <c r="B343" i="16"/>
  <c r="B344" i="16"/>
  <c r="B345" i="16"/>
  <c r="B346" i="16"/>
  <c r="B347" i="16"/>
  <c r="B348" i="16"/>
  <c r="B349" i="16"/>
  <c r="B350" i="16"/>
  <c r="B351" i="16"/>
  <c r="B352" i="16"/>
  <c r="B353" i="16"/>
  <c r="B354" i="16"/>
  <c r="B355" i="16"/>
  <c r="B356" i="16"/>
  <c r="B357" i="16"/>
  <c r="B358" i="16"/>
  <c r="B359" i="16"/>
  <c r="B360" i="16"/>
  <c r="B361" i="16"/>
  <c r="B362" i="16"/>
  <c r="B363" i="16"/>
  <c r="B364" i="16"/>
  <c r="B365" i="16"/>
  <c r="B366" i="16"/>
  <c r="B367" i="16"/>
  <c r="B368" i="16"/>
  <c r="B369" i="16"/>
  <c r="B370" i="16"/>
  <c r="B371" i="16"/>
  <c r="B372" i="16"/>
  <c r="B373" i="16"/>
  <c r="B374" i="16"/>
  <c r="B375" i="16"/>
  <c r="B376" i="16"/>
  <c r="B377" i="16"/>
  <c r="B378" i="16"/>
  <c r="B379" i="16"/>
  <c r="B380" i="16"/>
  <c r="B381" i="16"/>
  <c r="B382" i="16"/>
  <c r="B383" i="16"/>
  <c r="B384" i="16"/>
  <c r="B385" i="16"/>
  <c r="B386" i="16"/>
  <c r="B387" i="16"/>
  <c r="B388" i="16"/>
  <c r="B389" i="16"/>
  <c r="B390" i="16"/>
  <c r="B391" i="16"/>
  <c r="B392" i="16"/>
  <c r="B393" i="16"/>
  <c r="B394" i="16"/>
  <c r="B395" i="16"/>
  <c r="B396" i="16"/>
  <c r="B397" i="16"/>
  <c r="B398" i="16"/>
  <c r="B399" i="16"/>
  <c r="B400" i="16"/>
  <c r="B401" i="16"/>
  <c r="B402" i="16"/>
  <c r="B403" i="16"/>
  <c r="B404" i="16"/>
  <c r="B405" i="16"/>
  <c r="B406" i="16"/>
  <c r="B407" i="16"/>
  <c r="B408" i="16"/>
  <c r="B409" i="16"/>
  <c r="B410" i="16"/>
  <c r="B411" i="16"/>
  <c r="B412" i="16"/>
  <c r="B413" i="16"/>
  <c r="B414" i="16"/>
  <c r="B415" i="16"/>
  <c r="B416" i="16"/>
  <c r="B417" i="16"/>
  <c r="B418" i="16"/>
  <c r="B419" i="16"/>
  <c r="B420" i="16"/>
  <c r="B421" i="16"/>
  <c r="B422" i="16"/>
  <c r="B423" i="16"/>
  <c r="B424" i="16"/>
  <c r="B425" i="16"/>
  <c r="B426" i="16"/>
  <c r="B427" i="16"/>
  <c r="B428" i="16"/>
  <c r="B429" i="16"/>
  <c r="B430" i="16"/>
  <c r="B431" i="16"/>
  <c r="B432" i="16"/>
  <c r="B433" i="16"/>
  <c r="B434" i="16"/>
  <c r="B435" i="16"/>
  <c r="B436" i="16"/>
  <c r="B437" i="16"/>
  <c r="B438" i="16"/>
  <c r="B439" i="16"/>
  <c r="B440" i="16"/>
  <c r="B441" i="16"/>
  <c r="B442" i="16"/>
  <c r="B443" i="16"/>
  <c r="B444" i="16"/>
  <c r="B445" i="16"/>
  <c r="B446" i="16"/>
  <c r="B447" i="16"/>
  <c r="B448" i="16"/>
  <c r="B449" i="16"/>
  <c r="B450" i="16"/>
  <c r="B451" i="16"/>
  <c r="B452" i="16"/>
  <c r="B453" i="16"/>
  <c r="B454" i="16"/>
  <c r="B455" i="16"/>
  <c r="B456" i="16"/>
  <c r="B457" i="16"/>
  <c r="B458" i="16"/>
  <c r="B459" i="16"/>
  <c r="B460" i="16"/>
  <c r="B461" i="16"/>
  <c r="B462" i="16"/>
  <c r="B463" i="16"/>
  <c r="B464" i="16"/>
  <c r="B465" i="16"/>
  <c r="B466" i="16"/>
  <c r="B467" i="16"/>
  <c r="B468" i="16"/>
  <c r="B469" i="16"/>
  <c r="B470" i="16"/>
  <c r="B471" i="16"/>
  <c r="B472" i="16"/>
  <c r="B473" i="16"/>
  <c r="B474" i="16"/>
  <c r="B475" i="16"/>
  <c r="B476" i="16"/>
  <c r="B477" i="16"/>
  <c r="B478" i="16"/>
  <c r="B479" i="16"/>
  <c r="B480" i="16"/>
  <c r="B481" i="16"/>
  <c r="B482" i="16"/>
  <c r="B483" i="16"/>
  <c r="B484" i="16"/>
  <c r="B485" i="16"/>
  <c r="B486" i="16"/>
  <c r="B487" i="16"/>
  <c r="B488" i="16"/>
  <c r="B489" i="16"/>
  <c r="B490" i="16"/>
  <c r="B491" i="16"/>
  <c r="B492" i="16"/>
  <c r="B493" i="16"/>
  <c r="B494" i="16"/>
  <c r="B495" i="16"/>
  <c r="B496" i="16"/>
  <c r="B497" i="16"/>
  <c r="B498" i="16"/>
  <c r="B499" i="16"/>
  <c r="B500" i="16"/>
  <c r="B501" i="16"/>
  <c r="B502" i="16"/>
  <c r="B503" i="16"/>
  <c r="B504" i="16"/>
  <c r="B505" i="16"/>
  <c r="B506" i="16"/>
  <c r="B507" i="16"/>
  <c r="B508" i="16"/>
  <c r="B509" i="16"/>
  <c r="B510" i="16"/>
  <c r="R11" i="15" l="1"/>
  <c r="R13" i="15" s="1"/>
  <c r="R14" i="15"/>
  <c r="T8" i="15"/>
  <c r="T14" i="15" s="1"/>
  <c r="W8" i="15"/>
  <c r="W14" i="15" s="1"/>
  <c r="S8" i="15"/>
  <c r="S14" i="15" s="1"/>
  <c r="X8" i="15"/>
  <c r="X14" i="15" s="1"/>
  <c r="P8" i="15"/>
  <c r="P16" i="15" s="1"/>
  <c r="U8" i="15"/>
  <c r="U11" i="15" s="1"/>
  <c r="Y8" i="15"/>
  <c r="Y14" i="15" s="1"/>
  <c r="Q8" i="15"/>
  <c r="Q16" i="15" s="1"/>
  <c r="V8" i="15"/>
  <c r="V11" i="15" s="1"/>
  <c r="O8" i="15"/>
  <c r="O16" i="15" s="1"/>
  <c r="Z8" i="15"/>
  <c r="Z11" i="15" s="1"/>
  <c r="AE14" i="16"/>
  <c r="AF14" i="16" s="1"/>
  <c r="AE10" i="16"/>
  <c r="AF10" i="16" s="1"/>
  <c r="AE17" i="16"/>
  <c r="AF17" i="16" s="1"/>
  <c r="AE13" i="16"/>
  <c r="AF13" i="16" s="1"/>
  <c r="AE9" i="16"/>
  <c r="AF9" i="16" s="1"/>
  <c r="AE16" i="16"/>
  <c r="AF16" i="16" s="1"/>
  <c r="AE12" i="16"/>
  <c r="AF12" i="16" s="1"/>
  <c r="AE8" i="16"/>
  <c r="AF8" i="16" s="1"/>
  <c r="AE15" i="16"/>
  <c r="AF15" i="16" s="1"/>
  <c r="AE11" i="16"/>
  <c r="AF11" i="16" s="1"/>
  <c r="AE6" i="16"/>
  <c r="E26" i="10"/>
  <c r="D26" i="10"/>
  <c r="E25" i="10"/>
  <c r="D25" i="10"/>
  <c r="E24" i="10"/>
  <c r="D24" i="10"/>
  <c r="E23" i="10"/>
  <c r="D23" i="10"/>
  <c r="E22" i="10"/>
  <c r="D22" i="10"/>
  <c r="N9" i="12"/>
  <c r="O9" i="12" s="1"/>
  <c r="M9" i="12"/>
  <c r="L9" i="12"/>
  <c r="K9" i="12"/>
  <c r="J9" i="12"/>
  <c r="I9" i="12"/>
  <c r="H9" i="12"/>
  <c r="G9" i="12"/>
  <c r="F9" i="12"/>
  <c r="E9" i="12"/>
  <c r="D9" i="12"/>
  <c r="C9" i="12"/>
  <c r="I26" i="6" l="1"/>
  <c r="I24" i="6"/>
  <c r="I22" i="6"/>
  <c r="I20" i="6"/>
  <c r="I18" i="6"/>
  <c r="I16" i="6"/>
  <c r="I14" i="6"/>
  <c r="I12" i="6"/>
  <c r="I10" i="6"/>
  <c r="I8" i="6"/>
  <c r="I25" i="6"/>
  <c r="I23" i="6"/>
  <c r="I21" i="6"/>
  <c r="I19" i="6"/>
  <c r="I17" i="6"/>
  <c r="I15" i="6"/>
  <c r="I13" i="6"/>
  <c r="I11" i="6"/>
  <c r="I9" i="6"/>
  <c r="I7" i="6"/>
  <c r="D21" i="10"/>
  <c r="R15" i="15"/>
  <c r="W16" i="15"/>
  <c r="Z16" i="15"/>
  <c r="U16" i="15"/>
  <c r="T16" i="15"/>
  <c r="V16" i="15"/>
  <c r="X16" i="15"/>
  <c r="Y16" i="15"/>
  <c r="S16" i="15"/>
  <c r="T11" i="15"/>
  <c r="T15" i="15" s="1"/>
  <c r="V14" i="15"/>
  <c r="V15" i="15" s="1"/>
  <c r="Z13" i="15"/>
  <c r="U13" i="15"/>
  <c r="Z14" i="15"/>
  <c r="Z15" i="15" s="1"/>
  <c r="X11" i="15"/>
  <c r="U14" i="15"/>
  <c r="U15" i="15" s="1"/>
  <c r="W11" i="15"/>
  <c r="Y11" i="15"/>
  <c r="S11" i="15"/>
  <c r="V13" i="15"/>
  <c r="AF6" i="16"/>
  <c r="D7" i="16" s="1"/>
  <c r="C7" i="16"/>
  <c r="D19" i="10"/>
  <c r="D13" i="10"/>
  <c r="D15" i="10"/>
  <c r="D9" i="10"/>
  <c r="D17" i="10"/>
  <c r="D11" i="10"/>
  <c r="E13" i="10"/>
  <c r="E15" i="10"/>
  <c r="E17" i="10"/>
  <c r="D8" i="10"/>
  <c r="D10" i="10"/>
  <c r="D12" i="10"/>
  <c r="D14" i="10"/>
  <c r="D16" i="10"/>
  <c r="D18" i="10"/>
  <c r="D20" i="10"/>
  <c r="E14" i="10"/>
  <c r="E16" i="10"/>
  <c r="D7" i="10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8" i="9"/>
  <c r="H7" i="9"/>
  <c r="F9" i="17" l="1"/>
  <c r="F8" i="17"/>
  <c r="F10" i="17"/>
  <c r="F7" i="17"/>
  <c r="J25" i="6"/>
  <c r="J18" i="6"/>
  <c r="J13" i="6"/>
  <c r="J9" i="6"/>
  <c r="J26" i="6"/>
  <c r="J14" i="6"/>
  <c r="J17" i="6"/>
  <c r="J24" i="6"/>
  <c r="J20" i="6"/>
  <c r="J16" i="6"/>
  <c r="J12" i="6"/>
  <c r="J22" i="6"/>
  <c r="J10" i="6"/>
  <c r="J21" i="6"/>
  <c r="J8" i="6"/>
  <c r="J23" i="6"/>
  <c r="J19" i="6"/>
  <c r="J15" i="6"/>
  <c r="J11" i="6"/>
  <c r="J7" i="6"/>
  <c r="B62" i="12"/>
  <c r="B58" i="12"/>
  <c r="B61" i="12"/>
  <c r="B162" i="14" s="1"/>
  <c r="B57" i="12"/>
  <c r="B158" i="14" s="1"/>
  <c r="B60" i="12"/>
  <c r="B161" i="14" s="1"/>
  <c r="B56" i="12"/>
  <c r="B59" i="12"/>
  <c r="B55" i="12"/>
  <c r="B156" i="14" s="1"/>
  <c r="B54" i="12"/>
  <c r="B155" i="14" s="1"/>
  <c r="B53" i="12"/>
  <c r="B154" i="14" s="1"/>
  <c r="E12" i="10"/>
  <c r="E8" i="10"/>
  <c r="E10" i="10"/>
  <c r="E11" i="10"/>
  <c r="E9" i="10"/>
  <c r="E21" i="10"/>
  <c r="O14" i="15"/>
  <c r="P14" i="15"/>
  <c r="Q14" i="15"/>
  <c r="T13" i="15"/>
  <c r="J108" i="9"/>
  <c r="J88" i="9"/>
  <c r="Q11" i="15"/>
  <c r="X15" i="15"/>
  <c r="X13" i="15"/>
  <c r="Y15" i="15"/>
  <c r="Y13" i="15"/>
  <c r="P11" i="15"/>
  <c r="S13" i="15"/>
  <c r="S15" i="15"/>
  <c r="W13" i="15"/>
  <c r="W15" i="15"/>
  <c r="O11" i="15"/>
  <c r="O15" i="15" s="1"/>
  <c r="N7" i="15"/>
  <c r="F510" i="16"/>
  <c r="F509" i="16"/>
  <c r="F508" i="16"/>
  <c r="F507" i="16"/>
  <c r="F506" i="16"/>
  <c r="F505" i="16"/>
  <c r="F504" i="16"/>
  <c r="F503" i="16"/>
  <c r="F502" i="16"/>
  <c r="F501" i="16"/>
  <c r="F500" i="16"/>
  <c r="F499" i="16"/>
  <c r="F498" i="16"/>
  <c r="F497" i="16"/>
  <c r="F496" i="16"/>
  <c r="F495" i="16"/>
  <c r="F494" i="16"/>
  <c r="F493" i="16"/>
  <c r="F492" i="16"/>
  <c r="F491" i="16"/>
  <c r="F490" i="16"/>
  <c r="F489" i="16"/>
  <c r="F488" i="16"/>
  <c r="F487" i="16"/>
  <c r="F486" i="16"/>
  <c r="F485" i="16"/>
  <c r="F484" i="16"/>
  <c r="F483" i="16"/>
  <c r="F482" i="16"/>
  <c r="F481" i="16"/>
  <c r="F480" i="16"/>
  <c r="F479" i="16"/>
  <c r="F478" i="16"/>
  <c r="F477" i="16"/>
  <c r="E510" i="16"/>
  <c r="E509" i="16"/>
  <c r="E508" i="16"/>
  <c r="E507" i="16"/>
  <c r="E506" i="16"/>
  <c r="E505" i="16"/>
  <c r="E504" i="16"/>
  <c r="E503" i="16"/>
  <c r="E502" i="16"/>
  <c r="E501" i="16"/>
  <c r="E500" i="16"/>
  <c r="E499" i="16"/>
  <c r="E498" i="16"/>
  <c r="E497" i="16"/>
  <c r="E496" i="16"/>
  <c r="E495" i="16"/>
  <c r="E494" i="16"/>
  <c r="E493" i="16"/>
  <c r="E492" i="16"/>
  <c r="E491" i="16"/>
  <c r="E490" i="16"/>
  <c r="E489" i="16"/>
  <c r="E488" i="16"/>
  <c r="E487" i="16"/>
  <c r="H510" i="16"/>
  <c r="H509" i="16"/>
  <c r="H508" i="16"/>
  <c r="H507" i="16"/>
  <c r="H506" i="16"/>
  <c r="H505" i="16"/>
  <c r="H504" i="16"/>
  <c r="H503" i="16"/>
  <c r="H502" i="16"/>
  <c r="H501" i="16"/>
  <c r="H500" i="16"/>
  <c r="H499" i="16"/>
  <c r="H498" i="16"/>
  <c r="H497" i="16"/>
  <c r="H496" i="16"/>
  <c r="H495" i="16"/>
  <c r="H494" i="16"/>
  <c r="H493" i="16"/>
  <c r="H492" i="16"/>
  <c r="H491" i="16"/>
  <c r="H490" i="16"/>
  <c r="H489" i="16"/>
  <c r="H488" i="16"/>
  <c r="H487" i="16"/>
  <c r="H486" i="16"/>
  <c r="H485" i="16"/>
  <c r="H484" i="16"/>
  <c r="H483" i="16"/>
  <c r="H482" i="16"/>
  <c r="H481" i="16"/>
  <c r="H480" i="16"/>
  <c r="H479" i="16"/>
  <c r="H478" i="16"/>
  <c r="H477" i="16"/>
  <c r="E486" i="16"/>
  <c r="E482" i="16"/>
  <c r="E478" i="16"/>
  <c r="H476" i="16"/>
  <c r="F474" i="16"/>
  <c r="E473" i="16"/>
  <c r="H472" i="16"/>
  <c r="F470" i="16"/>
  <c r="E469" i="16"/>
  <c r="H468" i="16"/>
  <c r="F466" i="16"/>
  <c r="E465" i="16"/>
  <c r="H464" i="16"/>
  <c r="F462" i="16"/>
  <c r="E461" i="16"/>
  <c r="H460" i="16"/>
  <c r="F458" i="16"/>
  <c r="E457" i="16"/>
  <c r="H456" i="16"/>
  <c r="F454" i="16"/>
  <c r="E453" i="16"/>
  <c r="H452" i="16"/>
  <c r="F450" i="16"/>
  <c r="E449" i="16"/>
  <c r="H448" i="16"/>
  <c r="F446" i="16"/>
  <c r="E445" i="16"/>
  <c r="H444" i="16"/>
  <c r="F442" i="16"/>
  <c r="E441" i="16"/>
  <c r="H440" i="16"/>
  <c r="F438" i="16"/>
  <c r="E437" i="16"/>
  <c r="H436" i="16"/>
  <c r="F434" i="16"/>
  <c r="E433" i="16"/>
  <c r="H432" i="16"/>
  <c r="F430" i="16"/>
  <c r="E429" i="16"/>
  <c r="H428" i="16"/>
  <c r="F426" i="16"/>
  <c r="F425" i="16"/>
  <c r="F424" i="16"/>
  <c r="F423" i="16"/>
  <c r="E485" i="16"/>
  <c r="E481" i="16"/>
  <c r="E477" i="16"/>
  <c r="F475" i="16"/>
  <c r="E474" i="16"/>
  <c r="H473" i="16"/>
  <c r="F471" i="16"/>
  <c r="E470" i="16"/>
  <c r="H469" i="16"/>
  <c r="F467" i="16"/>
  <c r="E466" i="16"/>
  <c r="H465" i="16"/>
  <c r="F463" i="16"/>
  <c r="E462" i="16"/>
  <c r="H461" i="16"/>
  <c r="F459" i="16"/>
  <c r="E458" i="16"/>
  <c r="H457" i="16"/>
  <c r="F455" i="16"/>
  <c r="E454" i="16"/>
  <c r="H453" i="16"/>
  <c r="F451" i="16"/>
  <c r="E450" i="16"/>
  <c r="H449" i="16"/>
  <c r="F447" i="16"/>
  <c r="E446" i="16"/>
  <c r="H445" i="16"/>
  <c r="F443" i="16"/>
  <c r="E442" i="16"/>
  <c r="H441" i="16"/>
  <c r="F439" i="16"/>
  <c r="E438" i="16"/>
  <c r="H437" i="16"/>
  <c r="F435" i="16"/>
  <c r="E434" i="16"/>
  <c r="H433" i="16"/>
  <c r="F431" i="16"/>
  <c r="E430" i="16"/>
  <c r="H429" i="16"/>
  <c r="F427" i="16"/>
  <c r="E426" i="16"/>
  <c r="E425" i="16"/>
  <c r="E424" i="16"/>
  <c r="E423" i="16"/>
  <c r="E422" i="16"/>
  <c r="E421" i="16"/>
  <c r="E420" i="16"/>
  <c r="E419" i="16"/>
  <c r="E418" i="16"/>
  <c r="E417" i="16"/>
  <c r="E416" i="16"/>
  <c r="E415" i="16"/>
  <c r="E414" i="16"/>
  <c r="E413" i="16"/>
  <c r="E412" i="16"/>
  <c r="E411" i="16"/>
  <c r="E410" i="16"/>
  <c r="E409" i="16"/>
  <c r="E484" i="16"/>
  <c r="E480" i="16"/>
  <c r="F476" i="16"/>
  <c r="E475" i="16"/>
  <c r="H474" i="16"/>
  <c r="F472" i="16"/>
  <c r="E471" i="16"/>
  <c r="H470" i="16"/>
  <c r="F468" i="16"/>
  <c r="E467" i="16"/>
  <c r="H466" i="16"/>
  <c r="F464" i="16"/>
  <c r="E463" i="16"/>
  <c r="H462" i="16"/>
  <c r="F460" i="16"/>
  <c r="E459" i="16"/>
  <c r="H458" i="16"/>
  <c r="F456" i="16"/>
  <c r="E455" i="16"/>
  <c r="H454" i="16"/>
  <c r="F452" i="16"/>
  <c r="E451" i="16"/>
  <c r="H450" i="16"/>
  <c r="F448" i="16"/>
  <c r="E447" i="16"/>
  <c r="H446" i="16"/>
  <c r="F444" i="16"/>
  <c r="E443" i="16"/>
  <c r="H442" i="16"/>
  <c r="F440" i="16"/>
  <c r="E439" i="16"/>
  <c r="H438" i="16"/>
  <c r="F436" i="16"/>
  <c r="E435" i="16"/>
  <c r="H434" i="16"/>
  <c r="F432" i="16"/>
  <c r="E431" i="16"/>
  <c r="H430" i="16"/>
  <c r="F428" i="16"/>
  <c r="E483" i="16"/>
  <c r="E479" i="16"/>
  <c r="E476" i="16"/>
  <c r="H475" i="16"/>
  <c r="F473" i="16"/>
  <c r="E472" i="16"/>
  <c r="H471" i="16"/>
  <c r="F469" i="16"/>
  <c r="E468" i="16"/>
  <c r="H467" i="16"/>
  <c r="F465" i="16"/>
  <c r="E464" i="16"/>
  <c r="H463" i="16"/>
  <c r="F461" i="16"/>
  <c r="E460" i="16"/>
  <c r="H459" i="16"/>
  <c r="F457" i="16"/>
  <c r="E456" i="16"/>
  <c r="H455" i="16"/>
  <c r="F453" i="16"/>
  <c r="E452" i="16"/>
  <c r="H451" i="16"/>
  <c r="F449" i="16"/>
  <c r="E448" i="16"/>
  <c r="H447" i="16"/>
  <c r="F445" i="16"/>
  <c r="E444" i="16"/>
  <c r="H443" i="16"/>
  <c r="F441" i="16"/>
  <c r="E440" i="16"/>
  <c r="H439" i="16"/>
  <c r="F437" i="16"/>
  <c r="E436" i="16"/>
  <c r="H435" i="16"/>
  <c r="F433" i="16"/>
  <c r="E432" i="16"/>
  <c r="H431" i="16"/>
  <c r="F429" i="16"/>
  <c r="E428" i="16"/>
  <c r="H427" i="16"/>
  <c r="E427" i="16"/>
  <c r="H423" i="16"/>
  <c r="H421" i="16"/>
  <c r="H419" i="16"/>
  <c r="H417" i="16"/>
  <c r="H415" i="16"/>
  <c r="H413" i="16"/>
  <c r="H411" i="16"/>
  <c r="H409" i="16"/>
  <c r="F407" i="16"/>
  <c r="E406" i="16"/>
  <c r="H405" i="16"/>
  <c r="F403" i="16"/>
  <c r="E402" i="16"/>
  <c r="H401" i="16"/>
  <c r="F399" i="16"/>
  <c r="E398" i="16"/>
  <c r="H397" i="16"/>
  <c r="F395" i="16"/>
  <c r="E394" i="16"/>
  <c r="H393" i="16"/>
  <c r="F391" i="16"/>
  <c r="E390" i="16"/>
  <c r="H389" i="16"/>
  <c r="F387" i="16"/>
  <c r="E386" i="16"/>
  <c r="H426" i="16"/>
  <c r="F422" i="16"/>
  <c r="F420" i="16"/>
  <c r="F418" i="16"/>
  <c r="F416" i="16"/>
  <c r="F414" i="16"/>
  <c r="F412" i="16"/>
  <c r="F410" i="16"/>
  <c r="F408" i="16"/>
  <c r="E407" i="16"/>
  <c r="H406" i="16"/>
  <c r="F404" i="16"/>
  <c r="E403" i="16"/>
  <c r="H402" i="16"/>
  <c r="F400" i="16"/>
  <c r="E399" i="16"/>
  <c r="H398" i="16"/>
  <c r="F396" i="16"/>
  <c r="E395" i="16"/>
  <c r="H394" i="16"/>
  <c r="F392" i="16"/>
  <c r="E391" i="16"/>
  <c r="H390" i="16"/>
  <c r="F388" i="16"/>
  <c r="E387" i="16"/>
  <c r="H386" i="16"/>
  <c r="F384" i="16"/>
  <c r="E383" i="16"/>
  <c r="H382" i="16"/>
  <c r="H425" i="16"/>
  <c r="H422" i="16"/>
  <c r="H420" i="16"/>
  <c r="H418" i="16"/>
  <c r="H416" i="16"/>
  <c r="H414" i="16"/>
  <c r="H412" i="16"/>
  <c r="H410" i="16"/>
  <c r="E408" i="16"/>
  <c r="H407" i="16"/>
  <c r="F405" i="16"/>
  <c r="E404" i="16"/>
  <c r="H403" i="16"/>
  <c r="F401" i="16"/>
  <c r="E400" i="16"/>
  <c r="H399" i="16"/>
  <c r="F397" i="16"/>
  <c r="E396" i="16"/>
  <c r="H395" i="16"/>
  <c r="F393" i="16"/>
  <c r="E392" i="16"/>
  <c r="H391" i="16"/>
  <c r="F389" i="16"/>
  <c r="H424" i="16"/>
  <c r="F421" i="16"/>
  <c r="F419" i="16"/>
  <c r="F417" i="16"/>
  <c r="F415" i="16"/>
  <c r="F413" i="16"/>
  <c r="F411" i="16"/>
  <c r="F409" i="16"/>
  <c r="H408" i="16"/>
  <c r="F406" i="16"/>
  <c r="E405" i="16"/>
  <c r="H404" i="16"/>
  <c r="F402" i="16"/>
  <c r="E401" i="16"/>
  <c r="H400" i="16"/>
  <c r="F398" i="16"/>
  <c r="E397" i="16"/>
  <c r="H396" i="16"/>
  <c r="F394" i="16"/>
  <c r="E393" i="16"/>
  <c r="H392" i="16"/>
  <c r="F390" i="16"/>
  <c r="E389" i="16"/>
  <c r="H388" i="16"/>
  <c r="F386" i="16"/>
  <c r="E385" i="16"/>
  <c r="H384" i="16"/>
  <c r="F382" i="16"/>
  <c r="E381" i="16"/>
  <c r="E380" i="16"/>
  <c r="E379" i="16"/>
  <c r="E378" i="16"/>
  <c r="E377" i="16"/>
  <c r="E376" i="16"/>
  <c r="E375" i="16"/>
  <c r="E374" i="16"/>
  <c r="E373" i="16"/>
  <c r="E372" i="16"/>
  <c r="E371" i="16"/>
  <c r="E370" i="16"/>
  <c r="E369" i="16"/>
  <c r="E368" i="16"/>
  <c r="E367" i="16"/>
  <c r="E366" i="16"/>
  <c r="E365" i="16"/>
  <c r="E388" i="16"/>
  <c r="E384" i="16"/>
  <c r="F381" i="16"/>
  <c r="F379" i="16"/>
  <c r="F377" i="16"/>
  <c r="F375" i="16"/>
  <c r="F373" i="16"/>
  <c r="F371" i="16"/>
  <c r="F369" i="16"/>
  <c r="F367" i="16"/>
  <c r="F365" i="16"/>
  <c r="H364" i="16"/>
  <c r="F362" i="16"/>
  <c r="E361" i="16"/>
  <c r="H360" i="16"/>
  <c r="F358" i="16"/>
  <c r="E357" i="16"/>
  <c r="H356" i="16"/>
  <c r="F354" i="16"/>
  <c r="E353" i="16"/>
  <c r="H352" i="16"/>
  <c r="F350" i="16"/>
  <c r="E349" i="16"/>
  <c r="H348" i="16"/>
  <c r="F346" i="16"/>
  <c r="E345" i="16"/>
  <c r="H344" i="16"/>
  <c r="F342" i="16"/>
  <c r="E341" i="16"/>
  <c r="H340" i="16"/>
  <c r="F338" i="16"/>
  <c r="E337" i="16"/>
  <c r="H336" i="16"/>
  <c r="H387" i="16"/>
  <c r="F383" i="16"/>
  <c r="H381" i="16"/>
  <c r="H379" i="16"/>
  <c r="H377" i="16"/>
  <c r="H375" i="16"/>
  <c r="H373" i="16"/>
  <c r="H371" i="16"/>
  <c r="H369" i="16"/>
  <c r="H367" i="16"/>
  <c r="H365" i="16"/>
  <c r="F363" i="16"/>
  <c r="E362" i="16"/>
  <c r="H361" i="16"/>
  <c r="F359" i="16"/>
  <c r="E358" i="16"/>
  <c r="H357" i="16"/>
  <c r="F355" i="16"/>
  <c r="E354" i="16"/>
  <c r="H353" i="16"/>
  <c r="F351" i="16"/>
  <c r="E350" i="16"/>
  <c r="H349" i="16"/>
  <c r="F347" i="16"/>
  <c r="E346" i="16"/>
  <c r="H345" i="16"/>
  <c r="F343" i="16"/>
  <c r="E342" i="16"/>
  <c r="H341" i="16"/>
  <c r="F339" i="16"/>
  <c r="F385" i="16"/>
  <c r="H383" i="16"/>
  <c r="F380" i="16"/>
  <c r="F378" i="16"/>
  <c r="F376" i="16"/>
  <c r="F374" i="16"/>
  <c r="F372" i="16"/>
  <c r="F370" i="16"/>
  <c r="F368" i="16"/>
  <c r="F366" i="16"/>
  <c r="F364" i="16"/>
  <c r="E363" i="16"/>
  <c r="H362" i="16"/>
  <c r="F360" i="16"/>
  <c r="E359" i="16"/>
  <c r="H358" i="16"/>
  <c r="F356" i="16"/>
  <c r="E355" i="16"/>
  <c r="H354" i="16"/>
  <c r="F352" i="16"/>
  <c r="E351" i="16"/>
  <c r="H350" i="16"/>
  <c r="F348" i="16"/>
  <c r="E347" i="16"/>
  <c r="H346" i="16"/>
  <c r="F344" i="16"/>
  <c r="E343" i="16"/>
  <c r="H342" i="16"/>
  <c r="F340" i="16"/>
  <c r="E339" i="16"/>
  <c r="H338" i="16"/>
  <c r="F336" i="16"/>
  <c r="E335" i="16"/>
  <c r="H334" i="16"/>
  <c r="F332" i="16"/>
  <c r="E331" i="16"/>
  <c r="H330" i="16"/>
  <c r="F328" i="16"/>
  <c r="E327" i="16"/>
  <c r="H326" i="16"/>
  <c r="H385" i="16"/>
  <c r="E382" i="16"/>
  <c r="H380" i="16"/>
  <c r="H378" i="16"/>
  <c r="H376" i="16"/>
  <c r="H374" i="16"/>
  <c r="H372" i="16"/>
  <c r="H370" i="16"/>
  <c r="H368" i="16"/>
  <c r="H366" i="16"/>
  <c r="E364" i="16"/>
  <c r="H363" i="16"/>
  <c r="F361" i="16"/>
  <c r="E360" i="16"/>
  <c r="H359" i="16"/>
  <c r="F357" i="16"/>
  <c r="E356" i="16"/>
  <c r="H355" i="16"/>
  <c r="F353" i="16"/>
  <c r="E352" i="16"/>
  <c r="H351" i="16"/>
  <c r="F349" i="16"/>
  <c r="E348" i="16"/>
  <c r="H347" i="16"/>
  <c r="F345" i="16"/>
  <c r="E344" i="16"/>
  <c r="H343" i="16"/>
  <c r="F341" i="16"/>
  <c r="E340" i="16"/>
  <c r="H339" i="16"/>
  <c r="F337" i="16"/>
  <c r="E336" i="16"/>
  <c r="H335" i="16"/>
  <c r="F333" i="16"/>
  <c r="E332" i="16"/>
  <c r="H331" i="16"/>
  <c r="F329" i="16"/>
  <c r="E328" i="16"/>
  <c r="H327" i="16"/>
  <c r="F325" i="16"/>
  <c r="F324" i="16"/>
  <c r="F323" i="16"/>
  <c r="F322" i="16"/>
  <c r="F321" i="16"/>
  <c r="F320" i="16"/>
  <c r="F319" i="16"/>
  <c r="F318" i="16"/>
  <c r="F317" i="16"/>
  <c r="F316" i="16"/>
  <c r="F315" i="16"/>
  <c r="F314" i="16"/>
  <c r="F313" i="16"/>
  <c r="F312" i="16"/>
  <c r="F311" i="16"/>
  <c r="F310" i="16"/>
  <c r="E338" i="16"/>
  <c r="E334" i="16"/>
  <c r="F331" i="16"/>
  <c r="H329" i="16"/>
  <c r="E326" i="16"/>
  <c r="H324" i="16"/>
  <c r="H322" i="16"/>
  <c r="H320" i="16"/>
  <c r="H318" i="16"/>
  <c r="H316" i="16"/>
  <c r="H314" i="16"/>
  <c r="H312" i="16"/>
  <c r="H310" i="16"/>
  <c r="F308" i="16"/>
  <c r="E307" i="16"/>
  <c r="H306" i="16"/>
  <c r="F304" i="16"/>
  <c r="E303" i="16"/>
  <c r="H302" i="16"/>
  <c r="F300" i="16"/>
  <c r="E299" i="16"/>
  <c r="H298" i="16"/>
  <c r="F296" i="16"/>
  <c r="E295" i="16"/>
  <c r="H294" i="16"/>
  <c r="F292" i="16"/>
  <c r="E291" i="16"/>
  <c r="H290" i="16"/>
  <c r="F288" i="16"/>
  <c r="E287" i="16"/>
  <c r="H286" i="16"/>
  <c r="F284" i="16"/>
  <c r="E283" i="16"/>
  <c r="H282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60" i="16"/>
  <c r="F259" i="16"/>
  <c r="F258" i="16"/>
  <c r="F257" i="16"/>
  <c r="F256" i="16"/>
  <c r="F255" i="16"/>
  <c r="F254" i="16"/>
  <c r="F253" i="16"/>
  <c r="F252" i="16"/>
  <c r="F251" i="16"/>
  <c r="H337" i="16"/>
  <c r="E333" i="16"/>
  <c r="F330" i="16"/>
  <c r="H328" i="16"/>
  <c r="E325" i="16"/>
  <c r="E323" i="16"/>
  <c r="E321" i="16"/>
  <c r="E319" i="16"/>
  <c r="E317" i="16"/>
  <c r="E315" i="16"/>
  <c r="E313" i="16"/>
  <c r="E311" i="16"/>
  <c r="F309" i="16"/>
  <c r="E308" i="16"/>
  <c r="H307" i="16"/>
  <c r="F305" i="16"/>
  <c r="E304" i="16"/>
  <c r="H303" i="16"/>
  <c r="F301" i="16"/>
  <c r="E300" i="16"/>
  <c r="H299" i="16"/>
  <c r="F297" i="16"/>
  <c r="E296" i="16"/>
  <c r="H295" i="16"/>
  <c r="F293" i="16"/>
  <c r="E292" i="16"/>
  <c r="H291" i="16"/>
  <c r="F289" i="16"/>
  <c r="E288" i="16"/>
  <c r="H287" i="16"/>
  <c r="F285" i="16"/>
  <c r="E284" i="16"/>
  <c r="H283" i="16"/>
  <c r="F281" i="16"/>
  <c r="E280" i="16"/>
  <c r="E279" i="16"/>
  <c r="E278" i="16"/>
  <c r="E277" i="16"/>
  <c r="E276" i="16"/>
  <c r="E275" i="16"/>
  <c r="E274" i="16"/>
  <c r="E273" i="16"/>
  <c r="E272" i="16"/>
  <c r="E271" i="16"/>
  <c r="E270" i="16"/>
  <c r="E269" i="16"/>
  <c r="E268" i="16"/>
  <c r="E267" i="16"/>
  <c r="E266" i="16"/>
  <c r="E265" i="16"/>
  <c r="E264" i="16"/>
  <c r="E263" i="16"/>
  <c r="E262" i="16"/>
  <c r="E261" i="16"/>
  <c r="E260" i="16"/>
  <c r="E259" i="16"/>
  <c r="E258" i="16"/>
  <c r="F335" i="16"/>
  <c r="H333" i="16"/>
  <c r="E330" i="16"/>
  <c r="F327" i="16"/>
  <c r="H325" i="16"/>
  <c r="H323" i="16"/>
  <c r="H321" i="16"/>
  <c r="H319" i="16"/>
  <c r="H317" i="16"/>
  <c r="H315" i="16"/>
  <c r="H313" i="16"/>
  <c r="H311" i="16"/>
  <c r="E309" i="16"/>
  <c r="H308" i="16"/>
  <c r="F306" i="16"/>
  <c r="E305" i="16"/>
  <c r="H304" i="16"/>
  <c r="F302" i="16"/>
  <c r="E301" i="16"/>
  <c r="H300" i="16"/>
  <c r="F298" i="16"/>
  <c r="E297" i="16"/>
  <c r="H296" i="16"/>
  <c r="F294" i="16"/>
  <c r="E293" i="16"/>
  <c r="H292" i="16"/>
  <c r="F290" i="16"/>
  <c r="E289" i="16"/>
  <c r="H288" i="16"/>
  <c r="F286" i="16"/>
  <c r="E285" i="16"/>
  <c r="H284" i="16"/>
  <c r="F282" i="16"/>
  <c r="E281" i="16"/>
  <c r="H280" i="16"/>
  <c r="H279" i="16"/>
  <c r="H278" i="16"/>
  <c r="H277" i="16"/>
  <c r="H276" i="16"/>
  <c r="H275" i="16"/>
  <c r="H274" i="16"/>
  <c r="H273" i="16"/>
  <c r="H272" i="16"/>
  <c r="H271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8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5" i="16"/>
  <c r="H244" i="16"/>
  <c r="H243" i="16"/>
  <c r="H242" i="16"/>
  <c r="H241" i="16"/>
  <c r="H240" i="16"/>
  <c r="H239" i="16"/>
  <c r="H238" i="16"/>
  <c r="H237" i="16"/>
  <c r="F334" i="16"/>
  <c r="H332" i="16"/>
  <c r="E329" i="16"/>
  <c r="F326" i="16"/>
  <c r="E324" i="16"/>
  <c r="E322" i="16"/>
  <c r="E320" i="16"/>
  <c r="E318" i="16"/>
  <c r="E316" i="16"/>
  <c r="E314" i="16"/>
  <c r="E312" i="16"/>
  <c r="E310" i="16"/>
  <c r="H309" i="16"/>
  <c r="F307" i="16"/>
  <c r="E306" i="16"/>
  <c r="H305" i="16"/>
  <c r="F303" i="16"/>
  <c r="E302" i="16"/>
  <c r="H301" i="16"/>
  <c r="F299" i="16"/>
  <c r="E298" i="16"/>
  <c r="H297" i="16"/>
  <c r="F295" i="16"/>
  <c r="E294" i="16"/>
  <c r="H293" i="16"/>
  <c r="F291" i="16"/>
  <c r="E290" i="16"/>
  <c r="H289" i="16"/>
  <c r="F287" i="16"/>
  <c r="E286" i="16"/>
  <c r="H285" i="16"/>
  <c r="F283" i="16"/>
  <c r="E282" i="16"/>
  <c r="H281" i="16"/>
  <c r="E257" i="16"/>
  <c r="E253" i="16"/>
  <c r="E250" i="16"/>
  <c r="E248" i="16"/>
  <c r="E246" i="16"/>
  <c r="E244" i="16"/>
  <c r="E242" i="16"/>
  <c r="E240" i="16"/>
  <c r="E238" i="16"/>
  <c r="E236" i="16"/>
  <c r="H235" i="16"/>
  <c r="F233" i="16"/>
  <c r="E232" i="16"/>
  <c r="H231" i="16"/>
  <c r="F229" i="16"/>
  <c r="E228" i="16"/>
  <c r="H227" i="16"/>
  <c r="F225" i="16"/>
  <c r="E224" i="16"/>
  <c r="H223" i="16"/>
  <c r="F221" i="16"/>
  <c r="E220" i="16"/>
  <c r="H219" i="16"/>
  <c r="F217" i="16"/>
  <c r="E216" i="16"/>
  <c r="H215" i="16"/>
  <c r="F213" i="16"/>
  <c r="E212" i="16"/>
  <c r="H211" i="16"/>
  <c r="F209" i="16"/>
  <c r="E208" i="16"/>
  <c r="H207" i="16"/>
  <c r="F205" i="16"/>
  <c r="E204" i="16"/>
  <c r="H203" i="16"/>
  <c r="F201" i="16"/>
  <c r="E200" i="16"/>
  <c r="H199" i="16"/>
  <c r="F197" i="16"/>
  <c r="E196" i="16"/>
  <c r="H195" i="16"/>
  <c r="F193" i="16"/>
  <c r="E192" i="16"/>
  <c r="H191" i="16"/>
  <c r="F189" i="16"/>
  <c r="E188" i="16"/>
  <c r="H187" i="16"/>
  <c r="F185" i="16"/>
  <c r="E184" i="16"/>
  <c r="H183" i="16"/>
  <c r="F181" i="16"/>
  <c r="E180" i="16"/>
  <c r="H179" i="16"/>
  <c r="F177" i="16"/>
  <c r="E176" i="16"/>
  <c r="H175" i="16"/>
  <c r="F173" i="16"/>
  <c r="E172" i="16"/>
  <c r="H171" i="16"/>
  <c r="F169" i="16"/>
  <c r="E168" i="16"/>
  <c r="H167" i="16"/>
  <c r="F165" i="16"/>
  <c r="E164" i="16"/>
  <c r="H163" i="16"/>
  <c r="F161" i="16"/>
  <c r="E160" i="16"/>
  <c r="H159" i="16"/>
  <c r="F157" i="16"/>
  <c r="E156" i="16"/>
  <c r="H155" i="16"/>
  <c r="F153" i="16"/>
  <c r="E152" i="16"/>
  <c r="H151" i="16"/>
  <c r="F149" i="16"/>
  <c r="E148" i="16"/>
  <c r="H147" i="16"/>
  <c r="F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256" i="16"/>
  <c r="E252" i="16"/>
  <c r="F249" i="16"/>
  <c r="F247" i="16"/>
  <c r="F245" i="16"/>
  <c r="F243" i="16"/>
  <c r="F241" i="16"/>
  <c r="F239" i="16"/>
  <c r="F237" i="16"/>
  <c r="H236" i="16"/>
  <c r="F234" i="16"/>
  <c r="E233" i="16"/>
  <c r="H232" i="16"/>
  <c r="F230" i="16"/>
  <c r="E229" i="16"/>
  <c r="H228" i="16"/>
  <c r="F226" i="16"/>
  <c r="E225" i="16"/>
  <c r="H224" i="16"/>
  <c r="F222" i="16"/>
  <c r="E221" i="16"/>
  <c r="H220" i="16"/>
  <c r="F218" i="16"/>
  <c r="E217" i="16"/>
  <c r="H216" i="16"/>
  <c r="F214" i="16"/>
  <c r="E213" i="16"/>
  <c r="H212" i="16"/>
  <c r="F210" i="16"/>
  <c r="E209" i="16"/>
  <c r="H208" i="16"/>
  <c r="F206" i="16"/>
  <c r="E205" i="16"/>
  <c r="H204" i="16"/>
  <c r="F202" i="16"/>
  <c r="E201" i="16"/>
  <c r="H200" i="16"/>
  <c r="F198" i="16"/>
  <c r="E197" i="16"/>
  <c r="H196" i="16"/>
  <c r="F194" i="16"/>
  <c r="E193" i="16"/>
  <c r="H192" i="16"/>
  <c r="F190" i="16"/>
  <c r="E189" i="16"/>
  <c r="H188" i="16"/>
  <c r="F186" i="16"/>
  <c r="E185" i="16"/>
  <c r="H184" i="16"/>
  <c r="F182" i="16"/>
  <c r="E181" i="16"/>
  <c r="H180" i="16"/>
  <c r="F178" i="16"/>
  <c r="E177" i="16"/>
  <c r="H176" i="16"/>
  <c r="F174" i="16"/>
  <c r="E173" i="16"/>
  <c r="H172" i="16"/>
  <c r="F170" i="16"/>
  <c r="E169" i="16"/>
  <c r="H168" i="16"/>
  <c r="F166" i="16"/>
  <c r="E165" i="16"/>
  <c r="H164" i="16"/>
  <c r="F162" i="16"/>
  <c r="E161" i="16"/>
  <c r="H160" i="16"/>
  <c r="F158" i="16"/>
  <c r="E157" i="16"/>
  <c r="H156" i="16"/>
  <c r="F154" i="16"/>
  <c r="E153" i="16"/>
  <c r="H152" i="16"/>
  <c r="F150" i="16"/>
  <c r="E149" i="16"/>
  <c r="H148" i="16"/>
  <c r="F146" i="16"/>
  <c r="E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E255" i="16"/>
  <c r="E251" i="16"/>
  <c r="E249" i="16"/>
  <c r="E247" i="16"/>
  <c r="E245" i="16"/>
  <c r="E243" i="16"/>
  <c r="E241" i="16"/>
  <c r="E239" i="16"/>
  <c r="E237" i="16"/>
  <c r="F235" i="16"/>
  <c r="E234" i="16"/>
  <c r="H233" i="16"/>
  <c r="F231" i="16"/>
  <c r="E230" i="16"/>
  <c r="H229" i="16"/>
  <c r="F227" i="16"/>
  <c r="E226" i="16"/>
  <c r="H225" i="16"/>
  <c r="F223" i="16"/>
  <c r="E222" i="16"/>
  <c r="H221" i="16"/>
  <c r="F219" i="16"/>
  <c r="E218" i="16"/>
  <c r="H217" i="16"/>
  <c r="F215" i="16"/>
  <c r="E214" i="16"/>
  <c r="H213" i="16"/>
  <c r="F211" i="16"/>
  <c r="E210" i="16"/>
  <c r="H209" i="16"/>
  <c r="F207" i="16"/>
  <c r="E206" i="16"/>
  <c r="H205" i="16"/>
  <c r="F203" i="16"/>
  <c r="E202" i="16"/>
  <c r="H201" i="16"/>
  <c r="F199" i="16"/>
  <c r="E198" i="16"/>
  <c r="H197" i="16"/>
  <c r="F195" i="16"/>
  <c r="E194" i="16"/>
  <c r="H193" i="16"/>
  <c r="F191" i="16"/>
  <c r="E190" i="16"/>
  <c r="H189" i="16"/>
  <c r="F187" i="16"/>
  <c r="E186" i="16"/>
  <c r="H185" i="16"/>
  <c r="F183" i="16"/>
  <c r="E182" i="16"/>
  <c r="H181" i="16"/>
  <c r="F179" i="16"/>
  <c r="E178" i="16"/>
  <c r="H177" i="16"/>
  <c r="F175" i="16"/>
  <c r="E174" i="16"/>
  <c r="H173" i="16"/>
  <c r="F171" i="16"/>
  <c r="E170" i="16"/>
  <c r="H169" i="16"/>
  <c r="F167" i="16"/>
  <c r="E166" i="16"/>
  <c r="H165" i="16"/>
  <c r="F163" i="16"/>
  <c r="E162" i="16"/>
  <c r="H161" i="16"/>
  <c r="F159" i="16"/>
  <c r="E158" i="16"/>
  <c r="H157" i="16"/>
  <c r="F155" i="16"/>
  <c r="E154" i="16"/>
  <c r="H153" i="16"/>
  <c r="F151" i="16"/>
  <c r="E150" i="16"/>
  <c r="H149" i="16"/>
  <c r="F147" i="16"/>
  <c r="E146" i="16"/>
  <c r="H145" i="16"/>
  <c r="E254" i="16"/>
  <c r="F250" i="16"/>
  <c r="F248" i="16"/>
  <c r="F246" i="16"/>
  <c r="F244" i="16"/>
  <c r="F242" i="16"/>
  <c r="F240" i="16"/>
  <c r="F238" i="16"/>
  <c r="F236" i="16"/>
  <c r="E235" i="16"/>
  <c r="H234" i="16"/>
  <c r="F232" i="16"/>
  <c r="E231" i="16"/>
  <c r="H230" i="16"/>
  <c r="F228" i="16"/>
  <c r="E227" i="16"/>
  <c r="H226" i="16"/>
  <c r="F224" i="16"/>
  <c r="E223" i="16"/>
  <c r="H222" i="16"/>
  <c r="F220" i="16"/>
  <c r="E219" i="16"/>
  <c r="H218" i="16"/>
  <c r="F216" i="16"/>
  <c r="E215" i="16"/>
  <c r="H214" i="16"/>
  <c r="F212" i="16"/>
  <c r="E211" i="16"/>
  <c r="H210" i="16"/>
  <c r="F208" i="16"/>
  <c r="E207" i="16"/>
  <c r="H206" i="16"/>
  <c r="F204" i="16"/>
  <c r="E203" i="16"/>
  <c r="H202" i="16"/>
  <c r="F200" i="16"/>
  <c r="E199" i="16"/>
  <c r="H198" i="16"/>
  <c r="F196" i="16"/>
  <c r="E195" i="16"/>
  <c r="H194" i="16"/>
  <c r="F192" i="16"/>
  <c r="E191" i="16"/>
  <c r="H190" i="16"/>
  <c r="F188" i="16"/>
  <c r="E187" i="16"/>
  <c r="H186" i="16"/>
  <c r="F184" i="16"/>
  <c r="E183" i="16"/>
  <c r="H182" i="16"/>
  <c r="F180" i="16"/>
  <c r="E179" i="16"/>
  <c r="H178" i="16"/>
  <c r="F176" i="16"/>
  <c r="E175" i="16"/>
  <c r="H174" i="16"/>
  <c r="F172" i="16"/>
  <c r="E171" i="16"/>
  <c r="H170" i="16"/>
  <c r="F168" i="16"/>
  <c r="E167" i="16"/>
  <c r="H166" i="16"/>
  <c r="F164" i="16"/>
  <c r="E163" i="16"/>
  <c r="H162" i="16"/>
  <c r="F160" i="16"/>
  <c r="E159" i="16"/>
  <c r="H158" i="16"/>
  <c r="F156" i="16"/>
  <c r="E155" i="16"/>
  <c r="H154" i="16"/>
  <c r="F152" i="16"/>
  <c r="E151" i="16"/>
  <c r="H150" i="16"/>
  <c r="F148" i="16"/>
  <c r="E147" i="16"/>
  <c r="H146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E105" i="16"/>
  <c r="E101" i="16"/>
  <c r="F97" i="16"/>
  <c r="E96" i="16"/>
  <c r="H95" i="16"/>
  <c r="F93" i="16"/>
  <c r="E92" i="16"/>
  <c r="H91" i="16"/>
  <c r="F89" i="16"/>
  <c r="E88" i="16"/>
  <c r="H87" i="16"/>
  <c r="F85" i="16"/>
  <c r="E84" i="16"/>
  <c r="H83" i="16"/>
  <c r="F81" i="16"/>
  <c r="E80" i="16"/>
  <c r="H79" i="16"/>
  <c r="F77" i="16"/>
  <c r="E76" i="16"/>
  <c r="H75" i="16"/>
  <c r="F73" i="16"/>
  <c r="E72" i="16"/>
  <c r="H71" i="16"/>
  <c r="F69" i="16"/>
  <c r="E68" i="16"/>
  <c r="H67" i="16"/>
  <c r="F65" i="16"/>
  <c r="E64" i="16"/>
  <c r="H63" i="16"/>
  <c r="F61" i="16"/>
  <c r="E60" i="16"/>
  <c r="H59" i="16"/>
  <c r="F57" i="16"/>
  <c r="E56" i="16"/>
  <c r="H55" i="16"/>
  <c r="F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1" i="16"/>
  <c r="E18" i="16"/>
  <c r="E15" i="16"/>
  <c r="E12" i="16"/>
  <c r="E104" i="16"/>
  <c r="E100" i="16"/>
  <c r="E97" i="16"/>
  <c r="H96" i="16"/>
  <c r="F94" i="16"/>
  <c r="E93" i="16"/>
  <c r="H92" i="16"/>
  <c r="F90" i="16"/>
  <c r="E89" i="16"/>
  <c r="H88" i="16"/>
  <c r="F86" i="16"/>
  <c r="E85" i="16"/>
  <c r="H84" i="16"/>
  <c r="F82" i="16"/>
  <c r="E81" i="16"/>
  <c r="H80" i="16"/>
  <c r="F78" i="16"/>
  <c r="E77" i="16"/>
  <c r="H76" i="16"/>
  <c r="F74" i="16"/>
  <c r="E73" i="16"/>
  <c r="H72" i="16"/>
  <c r="F70" i="16"/>
  <c r="E69" i="16"/>
  <c r="H68" i="16"/>
  <c r="F66" i="16"/>
  <c r="E65" i="16"/>
  <c r="H64" i="16"/>
  <c r="F62" i="16"/>
  <c r="E61" i="16"/>
  <c r="H60" i="16"/>
  <c r="F58" i="16"/>
  <c r="E57" i="16"/>
  <c r="H56" i="16"/>
  <c r="F54" i="16"/>
  <c r="E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E103" i="16"/>
  <c r="E99" i="16"/>
  <c r="H97" i="16"/>
  <c r="F95" i="16"/>
  <c r="E94" i="16"/>
  <c r="H93" i="16"/>
  <c r="F91" i="16"/>
  <c r="E90" i="16"/>
  <c r="H89" i="16"/>
  <c r="F87" i="16"/>
  <c r="E86" i="16"/>
  <c r="H85" i="16"/>
  <c r="F83" i="16"/>
  <c r="E82" i="16"/>
  <c r="H81" i="16"/>
  <c r="F79" i="16"/>
  <c r="E78" i="16"/>
  <c r="H77" i="16"/>
  <c r="F75" i="16"/>
  <c r="E74" i="16"/>
  <c r="H73" i="16"/>
  <c r="F71" i="16"/>
  <c r="E70" i="16"/>
  <c r="H69" i="16"/>
  <c r="F67" i="16"/>
  <c r="E66" i="16"/>
  <c r="H65" i="16"/>
  <c r="F63" i="16"/>
  <c r="E62" i="16"/>
  <c r="H61" i="16"/>
  <c r="F59" i="16"/>
  <c r="E58" i="16"/>
  <c r="H57" i="16"/>
  <c r="F55" i="16"/>
  <c r="E54" i="16"/>
  <c r="H53" i="16"/>
  <c r="E23" i="16"/>
  <c r="E20" i="16"/>
  <c r="E17" i="16"/>
  <c r="E14" i="16"/>
  <c r="E102" i="16"/>
  <c r="E98" i="16"/>
  <c r="F96" i="16"/>
  <c r="E95" i="16"/>
  <c r="H94" i="16"/>
  <c r="F92" i="16"/>
  <c r="E91" i="16"/>
  <c r="H90" i="16"/>
  <c r="F88" i="16"/>
  <c r="E87" i="16"/>
  <c r="H86" i="16"/>
  <c r="F84" i="16"/>
  <c r="E83" i="16"/>
  <c r="H82" i="16"/>
  <c r="F80" i="16"/>
  <c r="E79" i="16"/>
  <c r="H78" i="16"/>
  <c r="F76" i="16"/>
  <c r="E75" i="16"/>
  <c r="H74" i="16"/>
  <c r="F72" i="16"/>
  <c r="E71" i="16"/>
  <c r="H70" i="16"/>
  <c r="F68" i="16"/>
  <c r="E67" i="16"/>
  <c r="H66" i="16"/>
  <c r="F64" i="16"/>
  <c r="E63" i="16"/>
  <c r="H62" i="16"/>
  <c r="F60" i="16"/>
  <c r="E59" i="16"/>
  <c r="H58" i="16"/>
  <c r="F56" i="16"/>
  <c r="E55" i="16"/>
  <c r="H54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E22" i="16"/>
  <c r="E19" i="16"/>
  <c r="E16" i="16"/>
  <c r="E13" i="16"/>
  <c r="E11" i="16"/>
  <c r="J13" i="9"/>
  <c r="E7" i="16"/>
  <c r="D11" i="16" s="1"/>
  <c r="H11" i="16" s="1"/>
  <c r="B157" i="14"/>
  <c r="B159" i="14"/>
  <c r="B160" i="14"/>
  <c r="B163" i="14"/>
  <c r="E18" i="10"/>
  <c r="B30" i="12"/>
  <c r="B33" i="12"/>
  <c r="B32" i="12"/>
  <c r="B28" i="12"/>
  <c r="B29" i="12"/>
  <c r="B31" i="12"/>
  <c r="B27" i="12"/>
  <c r="B34" i="12"/>
  <c r="B26" i="12"/>
  <c r="B25" i="12"/>
  <c r="E20" i="10"/>
  <c r="E19" i="10"/>
  <c r="E7" i="10"/>
  <c r="J85" i="9"/>
  <c r="J144" i="9"/>
  <c r="J7" i="9"/>
  <c r="J254" i="9"/>
  <c r="J238" i="9"/>
  <c r="J234" i="9"/>
  <c r="J226" i="9"/>
  <c r="J222" i="9"/>
  <c r="J218" i="9"/>
  <c r="J210" i="9"/>
  <c r="J206" i="9"/>
  <c r="J202" i="9"/>
  <c r="J194" i="9"/>
  <c r="J190" i="9"/>
  <c r="J186" i="9"/>
  <c r="J178" i="9"/>
  <c r="J174" i="9"/>
  <c r="J170" i="9"/>
  <c r="J162" i="9"/>
  <c r="J158" i="9"/>
  <c r="J150" i="9"/>
  <c r="J142" i="9"/>
  <c r="J134" i="9"/>
  <c r="J126" i="9"/>
  <c r="J118" i="9"/>
  <c r="J110" i="9"/>
  <c r="J102" i="9"/>
  <c r="J94" i="9"/>
  <c r="J86" i="9"/>
  <c r="J78" i="9"/>
  <c r="J70" i="9"/>
  <c r="J62" i="9"/>
  <c r="J54" i="9"/>
  <c r="J46" i="9"/>
  <c r="J38" i="9"/>
  <c r="J30" i="9"/>
  <c r="J14" i="9"/>
  <c r="J265" i="9"/>
  <c r="J261" i="9"/>
  <c r="J257" i="9"/>
  <c r="J253" i="9"/>
  <c r="J249" i="9"/>
  <c r="J245" i="9"/>
  <c r="J241" i="9"/>
  <c r="J237" i="9"/>
  <c r="J233" i="9"/>
  <c r="J229" i="9"/>
  <c r="J225" i="9"/>
  <c r="J221" i="9"/>
  <c r="J217" i="9"/>
  <c r="J157" i="9"/>
  <c r="J117" i="9"/>
  <c r="J97" i="9"/>
  <c r="J65" i="9"/>
  <c r="J53" i="9"/>
  <c r="J33" i="9"/>
  <c r="J262" i="9"/>
  <c r="J246" i="9"/>
  <c r="J230" i="9"/>
  <c r="J214" i="9"/>
  <c r="J198" i="9"/>
  <c r="J182" i="9"/>
  <c r="J166" i="9"/>
  <c r="J154" i="9"/>
  <c r="J146" i="9"/>
  <c r="J138" i="9"/>
  <c r="J130" i="9"/>
  <c r="J122" i="9"/>
  <c r="J114" i="9"/>
  <c r="J106" i="9"/>
  <c r="J98" i="9"/>
  <c r="J90" i="9"/>
  <c r="J82" i="9"/>
  <c r="J74" i="9"/>
  <c r="J66" i="9"/>
  <c r="J58" i="9"/>
  <c r="J50" i="9"/>
  <c r="J42" i="9"/>
  <c r="J34" i="9"/>
  <c r="J26" i="9"/>
  <c r="J22" i="9"/>
  <c r="J18" i="9"/>
  <c r="J10" i="9"/>
  <c r="J213" i="9"/>
  <c r="J209" i="9"/>
  <c r="J205" i="9"/>
  <c r="J201" i="9"/>
  <c r="J197" i="9"/>
  <c r="J193" i="9"/>
  <c r="J189" i="9"/>
  <c r="J185" i="9"/>
  <c r="J181" i="9"/>
  <c r="J177" i="9"/>
  <c r="J173" i="9"/>
  <c r="J169" i="9"/>
  <c r="J165" i="9"/>
  <c r="J161" i="9"/>
  <c r="J153" i="9"/>
  <c r="J149" i="9"/>
  <c r="J145" i="9"/>
  <c r="J141" i="9"/>
  <c r="J137" i="9"/>
  <c r="J133" i="9"/>
  <c r="J129" i="9"/>
  <c r="J125" i="9"/>
  <c r="J121" i="9"/>
  <c r="J113" i="9"/>
  <c r="J109" i="9"/>
  <c r="J105" i="9"/>
  <c r="J101" i="9"/>
  <c r="J93" i="9"/>
  <c r="J89" i="9"/>
  <c r="J81" i="9"/>
  <c r="J77" i="9"/>
  <c r="J73" i="9"/>
  <c r="J69" i="9"/>
  <c r="J61" i="9"/>
  <c r="J57" i="9"/>
  <c r="J49" i="9"/>
  <c r="J45" i="9"/>
  <c r="J41" i="9"/>
  <c r="J37" i="9"/>
  <c r="J29" i="9"/>
  <c r="J25" i="9"/>
  <c r="J21" i="9"/>
  <c r="J17" i="9"/>
  <c r="J9" i="9"/>
  <c r="J148" i="9"/>
  <c r="J140" i="9"/>
  <c r="J136" i="9"/>
  <c r="J132" i="9"/>
  <c r="J128" i="9"/>
  <c r="J124" i="9"/>
  <c r="J120" i="9"/>
  <c r="J116" i="9"/>
  <c r="J112" i="9"/>
  <c r="J104" i="9"/>
  <c r="J100" i="9"/>
  <c r="J96" i="9"/>
  <c r="J92" i="9"/>
  <c r="J84" i="9"/>
  <c r="J80" i="9"/>
  <c r="J76" i="9"/>
  <c r="J72" i="9"/>
  <c r="J68" i="9"/>
  <c r="J64" i="9"/>
  <c r="J60" i="9"/>
  <c r="J56" i="9"/>
  <c r="J52" i="9"/>
  <c r="J48" i="9"/>
  <c r="J44" i="9"/>
  <c r="J40" i="9"/>
  <c r="J36" i="9"/>
  <c r="J32" i="9"/>
  <c r="J28" i="9"/>
  <c r="J24" i="9"/>
  <c r="J20" i="9"/>
  <c r="J16" i="9"/>
  <c r="J12" i="9"/>
  <c r="J263" i="9"/>
  <c r="J259" i="9"/>
  <c r="J258" i="9"/>
  <c r="J250" i="9"/>
  <c r="J242" i="9"/>
  <c r="J264" i="9"/>
  <c r="J260" i="9"/>
  <c r="J256" i="9"/>
  <c r="J252" i="9"/>
  <c r="J248" i="9"/>
  <c r="J244" i="9"/>
  <c r="J240" i="9"/>
  <c r="J236" i="9"/>
  <c r="J232" i="9"/>
  <c r="J228" i="9"/>
  <c r="J224" i="9"/>
  <c r="J220" i="9"/>
  <c r="J216" i="9"/>
  <c r="J212" i="9"/>
  <c r="J208" i="9"/>
  <c r="J204" i="9"/>
  <c r="J200" i="9"/>
  <c r="J196" i="9"/>
  <c r="J192" i="9"/>
  <c r="J188" i="9"/>
  <c r="J184" i="9"/>
  <c r="J180" i="9"/>
  <c r="J176" i="9"/>
  <c r="J172" i="9"/>
  <c r="J168" i="9"/>
  <c r="J164" i="9"/>
  <c r="J160" i="9"/>
  <c r="J156" i="9"/>
  <c r="J152" i="9"/>
  <c r="J255" i="9"/>
  <c r="J251" i="9"/>
  <c r="J247" i="9"/>
  <c r="J243" i="9"/>
  <c r="J239" i="9"/>
  <c r="J235" i="9"/>
  <c r="J231" i="9"/>
  <c r="J227" i="9"/>
  <c r="J223" i="9"/>
  <c r="J219" i="9"/>
  <c r="J215" i="9"/>
  <c r="J211" i="9"/>
  <c r="J207" i="9"/>
  <c r="J203" i="9"/>
  <c r="J199" i="9"/>
  <c r="J195" i="9"/>
  <c r="J191" i="9"/>
  <c r="J187" i="9"/>
  <c r="J183" i="9"/>
  <c r="J179" i="9"/>
  <c r="J175" i="9"/>
  <c r="J171" i="9"/>
  <c r="J167" i="9"/>
  <c r="J163" i="9"/>
  <c r="J159" i="9"/>
  <c r="J155" i="9"/>
  <c r="J151" i="9"/>
  <c r="J147" i="9"/>
  <c r="J143" i="9"/>
  <c r="J139" i="9"/>
  <c r="J135" i="9"/>
  <c r="J131" i="9"/>
  <c r="J127" i="9"/>
  <c r="J123" i="9"/>
  <c r="J119" i="9"/>
  <c r="J115" i="9"/>
  <c r="J111" i="9"/>
  <c r="J107" i="9"/>
  <c r="J103" i="9"/>
  <c r="J99" i="9"/>
  <c r="J95" i="9"/>
  <c r="J91" i="9"/>
  <c r="J87" i="9"/>
  <c r="J83" i="9"/>
  <c r="J79" i="9"/>
  <c r="J75" i="9"/>
  <c r="J71" i="9"/>
  <c r="J67" i="9"/>
  <c r="J63" i="9"/>
  <c r="J59" i="9"/>
  <c r="J55" i="9"/>
  <c r="J51" i="9"/>
  <c r="J47" i="9"/>
  <c r="J43" i="9"/>
  <c r="J39" i="9"/>
  <c r="J35" i="9"/>
  <c r="J31" i="9"/>
  <c r="J27" i="9"/>
  <c r="J23" i="9"/>
  <c r="J19" i="9"/>
  <c r="J15" i="9"/>
  <c r="J11" i="9"/>
  <c r="J8" i="9"/>
  <c r="B7" i="9"/>
  <c r="B8" i="9" s="1"/>
  <c r="B9" i="9" s="1"/>
  <c r="B10" i="9" s="1"/>
  <c r="D30" i="16" l="1"/>
  <c r="H30" i="16" s="1"/>
  <c r="D14" i="16"/>
  <c r="H14" i="16" s="1"/>
  <c r="D17" i="16"/>
  <c r="H17" i="16" s="1"/>
  <c r="D20" i="16"/>
  <c r="H20" i="16" s="1"/>
  <c r="D23" i="16"/>
  <c r="H23" i="16" s="1"/>
  <c r="D26" i="16"/>
  <c r="H26" i="16" s="1"/>
  <c r="D29" i="16"/>
  <c r="H29" i="16" s="1"/>
  <c r="D13" i="16"/>
  <c r="H13" i="16" s="1"/>
  <c r="D16" i="16"/>
  <c r="H16" i="16" s="1"/>
  <c r="D19" i="16"/>
  <c r="H19" i="16" s="1"/>
  <c r="D22" i="16"/>
  <c r="H22" i="16" s="1"/>
  <c r="D25" i="16"/>
  <c r="H25" i="16" s="1"/>
  <c r="D28" i="16"/>
  <c r="H28" i="16" s="1"/>
  <c r="D12" i="16"/>
  <c r="H12" i="16" s="1"/>
  <c r="D15" i="16"/>
  <c r="H15" i="16" s="1"/>
  <c r="D18" i="16"/>
  <c r="H18" i="16" s="1"/>
  <c r="D21" i="16"/>
  <c r="H21" i="16" s="1"/>
  <c r="D24" i="16"/>
  <c r="H24" i="16" s="1"/>
  <c r="D27" i="16"/>
  <c r="H27" i="16" s="1"/>
  <c r="G11" i="16"/>
  <c r="B81" i="12"/>
  <c r="B240" i="14" s="1"/>
  <c r="B90" i="12"/>
  <c r="B249" i="14" s="1"/>
  <c r="B86" i="12"/>
  <c r="B245" i="14" s="1"/>
  <c r="B82" i="12"/>
  <c r="B241" i="14" s="1"/>
  <c r="B83" i="12"/>
  <c r="B242" i="14" s="1"/>
  <c r="B89" i="12"/>
  <c r="B248" i="14" s="1"/>
  <c r="B85" i="12"/>
  <c r="B244" i="14" s="1"/>
  <c r="B88" i="12"/>
  <c r="B247" i="14" s="1"/>
  <c r="B84" i="12"/>
  <c r="B243" i="14" s="1"/>
  <c r="B87" i="12"/>
  <c r="B246" i="14" s="1"/>
  <c r="B11" i="9"/>
  <c r="G10" i="17"/>
  <c r="G8" i="17"/>
  <c r="G9" i="17"/>
  <c r="G7" i="17"/>
  <c r="N55" i="12"/>
  <c r="N156" i="14" s="1"/>
  <c r="J55" i="12"/>
  <c r="F55" i="12"/>
  <c r="M55" i="12"/>
  <c r="I55" i="12"/>
  <c r="I156" i="14" s="1"/>
  <c r="E55" i="12"/>
  <c r="L55" i="12"/>
  <c r="L156" i="14" s="1"/>
  <c r="H55" i="12"/>
  <c r="D55" i="12"/>
  <c r="D156" i="14" s="1"/>
  <c r="K55" i="12"/>
  <c r="G55" i="12"/>
  <c r="G156" i="14" s="1"/>
  <c r="C55" i="12"/>
  <c r="L57" i="12"/>
  <c r="L158" i="14" s="1"/>
  <c r="H57" i="12"/>
  <c r="D57" i="12"/>
  <c r="D158" i="14" s="1"/>
  <c r="K57" i="12"/>
  <c r="G57" i="12"/>
  <c r="G158" i="14" s="1"/>
  <c r="C57" i="12"/>
  <c r="N57" i="12"/>
  <c r="N158" i="14" s="1"/>
  <c r="J57" i="12"/>
  <c r="F57" i="12"/>
  <c r="F158" i="14" s="1"/>
  <c r="M57" i="12"/>
  <c r="I57" i="12"/>
  <c r="I158" i="14" s="1"/>
  <c r="E57" i="12"/>
  <c r="N59" i="12"/>
  <c r="N160" i="14" s="1"/>
  <c r="J59" i="12"/>
  <c r="F59" i="12"/>
  <c r="F160" i="14" s="1"/>
  <c r="M59" i="12"/>
  <c r="I59" i="12"/>
  <c r="I160" i="14" s="1"/>
  <c r="E59" i="12"/>
  <c r="L59" i="12"/>
  <c r="L160" i="14" s="1"/>
  <c r="H59" i="12"/>
  <c r="D59" i="12"/>
  <c r="D160" i="14" s="1"/>
  <c r="K59" i="12"/>
  <c r="G59" i="12"/>
  <c r="C59" i="12"/>
  <c r="L61" i="12"/>
  <c r="L162" i="14" s="1"/>
  <c r="H61" i="12"/>
  <c r="D61" i="12"/>
  <c r="D162" i="14" s="1"/>
  <c r="K61" i="12"/>
  <c r="G61" i="12"/>
  <c r="G162" i="14" s="1"/>
  <c r="C61" i="12"/>
  <c r="N61" i="12"/>
  <c r="N162" i="14" s="1"/>
  <c r="J61" i="12"/>
  <c r="F61" i="12"/>
  <c r="F162" i="14" s="1"/>
  <c r="M61" i="12"/>
  <c r="I61" i="12"/>
  <c r="I162" i="14" s="1"/>
  <c r="E61" i="12"/>
  <c r="M56" i="12"/>
  <c r="M157" i="14" s="1"/>
  <c r="I56" i="12"/>
  <c r="E56" i="12"/>
  <c r="E157" i="14" s="1"/>
  <c r="L56" i="12"/>
  <c r="H56" i="12"/>
  <c r="H157" i="14" s="1"/>
  <c r="D56" i="12"/>
  <c r="K56" i="12"/>
  <c r="K157" i="14" s="1"/>
  <c r="G56" i="12"/>
  <c r="C56" i="12"/>
  <c r="C157" i="14" s="1"/>
  <c r="N56" i="12"/>
  <c r="J56" i="12"/>
  <c r="J157" i="14" s="1"/>
  <c r="F56" i="12"/>
  <c r="K58" i="12"/>
  <c r="K159" i="14" s="1"/>
  <c r="G58" i="12"/>
  <c r="C58" i="12"/>
  <c r="C159" i="14" s="1"/>
  <c r="N58" i="12"/>
  <c r="N159" i="14" s="1"/>
  <c r="J58" i="12"/>
  <c r="J159" i="14" s="1"/>
  <c r="F58" i="12"/>
  <c r="M58" i="12"/>
  <c r="M159" i="14" s="1"/>
  <c r="I58" i="12"/>
  <c r="I159" i="14" s="1"/>
  <c r="E58" i="12"/>
  <c r="E159" i="14" s="1"/>
  <c r="L58" i="12"/>
  <c r="H58" i="12"/>
  <c r="H159" i="14" s="1"/>
  <c r="D58" i="12"/>
  <c r="D159" i="14" s="1"/>
  <c r="K54" i="12"/>
  <c r="K155" i="14" s="1"/>
  <c r="G54" i="12"/>
  <c r="C54" i="12"/>
  <c r="C155" i="14" s="1"/>
  <c r="N54" i="12"/>
  <c r="N155" i="14" s="1"/>
  <c r="J54" i="12"/>
  <c r="J155" i="14" s="1"/>
  <c r="F54" i="12"/>
  <c r="I54" i="12"/>
  <c r="I155" i="14" s="1"/>
  <c r="M54" i="12"/>
  <c r="M155" i="14" s="1"/>
  <c r="E54" i="12"/>
  <c r="E155" i="14" s="1"/>
  <c r="L54" i="12"/>
  <c r="H54" i="12"/>
  <c r="H155" i="14" s="1"/>
  <c r="D54" i="12"/>
  <c r="D155" i="14" s="1"/>
  <c r="M60" i="12"/>
  <c r="M161" i="14" s="1"/>
  <c r="I60" i="12"/>
  <c r="E60" i="12"/>
  <c r="E161" i="14" s="1"/>
  <c r="L60" i="12"/>
  <c r="H60" i="12"/>
  <c r="H161" i="14" s="1"/>
  <c r="D60" i="12"/>
  <c r="K60" i="12"/>
  <c r="K161" i="14" s="1"/>
  <c r="G60" i="12"/>
  <c r="G161" i="14" s="1"/>
  <c r="C60" i="12"/>
  <c r="C161" i="14" s="1"/>
  <c r="N60" i="12"/>
  <c r="J60" i="12"/>
  <c r="J161" i="14" s="1"/>
  <c r="F60" i="12"/>
  <c r="F161" i="14" s="1"/>
  <c r="K62" i="12"/>
  <c r="K163" i="14" s="1"/>
  <c r="G62" i="12"/>
  <c r="C62" i="12"/>
  <c r="C163" i="14" s="1"/>
  <c r="N62" i="12"/>
  <c r="N163" i="14" s="1"/>
  <c r="J62" i="12"/>
  <c r="J163" i="14" s="1"/>
  <c r="F62" i="12"/>
  <c r="M62" i="12"/>
  <c r="M163" i="14" s="1"/>
  <c r="I62" i="12"/>
  <c r="I163" i="14" s="1"/>
  <c r="E62" i="12"/>
  <c r="E163" i="14" s="1"/>
  <c r="L62" i="12"/>
  <c r="H62" i="12"/>
  <c r="H163" i="14" s="1"/>
  <c r="D62" i="12"/>
  <c r="D163" i="14" s="1"/>
  <c r="C53" i="12"/>
  <c r="C154" i="14" s="1"/>
  <c r="N53" i="12"/>
  <c r="J53" i="12"/>
  <c r="J154" i="14" s="1"/>
  <c r="F53" i="12"/>
  <c r="F154" i="14" s="1"/>
  <c r="M53" i="12"/>
  <c r="M154" i="14" s="1"/>
  <c r="I53" i="12"/>
  <c r="E53" i="12"/>
  <c r="E154" i="14" s="1"/>
  <c r="L53" i="12"/>
  <c r="L154" i="14" s="1"/>
  <c r="H53" i="12"/>
  <c r="H154" i="14" s="1"/>
  <c r="D53" i="12"/>
  <c r="K53" i="12"/>
  <c r="K154" i="14" s="1"/>
  <c r="G53" i="12"/>
  <c r="G154" i="14" s="1"/>
  <c r="B39" i="12"/>
  <c r="B111" i="14" s="1"/>
  <c r="B48" i="12"/>
  <c r="B44" i="12"/>
  <c r="B116" i="14" s="1"/>
  <c r="B40" i="12"/>
  <c r="B112" i="14" s="1"/>
  <c r="B47" i="12"/>
  <c r="B119" i="14" s="1"/>
  <c r="B43" i="12"/>
  <c r="B46" i="12"/>
  <c r="B118" i="14" s="1"/>
  <c r="B42" i="12"/>
  <c r="B114" i="14" s="1"/>
  <c r="B45" i="12"/>
  <c r="B117" i="14" s="1"/>
  <c r="B41" i="12"/>
  <c r="B70" i="14"/>
  <c r="N27" i="12"/>
  <c r="N70" i="14" s="1"/>
  <c r="J27" i="12"/>
  <c r="J70" i="14" s="1"/>
  <c r="F27" i="12"/>
  <c r="M27" i="12"/>
  <c r="M70" i="14" s="1"/>
  <c r="I27" i="12"/>
  <c r="I70" i="14" s="1"/>
  <c r="E27" i="12"/>
  <c r="E70" i="14" s="1"/>
  <c r="L27" i="12"/>
  <c r="H27" i="12"/>
  <c r="H70" i="14" s="1"/>
  <c r="D27" i="12"/>
  <c r="D70" i="14" s="1"/>
  <c r="K27" i="12"/>
  <c r="K70" i="14" s="1"/>
  <c r="G27" i="12"/>
  <c r="C27" i="12"/>
  <c r="C70" i="14" s="1"/>
  <c r="B75" i="14"/>
  <c r="M32" i="12"/>
  <c r="M75" i="14" s="1"/>
  <c r="I32" i="12"/>
  <c r="E32" i="12"/>
  <c r="L32" i="12"/>
  <c r="L75" i="14" s="1"/>
  <c r="H32" i="12"/>
  <c r="H75" i="14" s="1"/>
  <c r="D32" i="12"/>
  <c r="O32" i="12"/>
  <c r="K32" i="12"/>
  <c r="K75" i="14" s="1"/>
  <c r="G32" i="12"/>
  <c r="G75" i="14" s="1"/>
  <c r="C32" i="12"/>
  <c r="N32" i="12"/>
  <c r="N75" i="14" s="1"/>
  <c r="J32" i="12"/>
  <c r="J75" i="14" s="1"/>
  <c r="F32" i="12"/>
  <c r="F75" i="14" s="1"/>
  <c r="B74" i="14"/>
  <c r="N31" i="12"/>
  <c r="N74" i="14" s="1"/>
  <c r="J31" i="12"/>
  <c r="J74" i="14" s="1"/>
  <c r="F31" i="12"/>
  <c r="F74" i="14" s="1"/>
  <c r="M31" i="12"/>
  <c r="I31" i="12"/>
  <c r="I74" i="14" s="1"/>
  <c r="E31" i="12"/>
  <c r="E74" i="14" s="1"/>
  <c r="L31" i="12"/>
  <c r="L74" i="14" s="1"/>
  <c r="H31" i="12"/>
  <c r="D31" i="12"/>
  <c r="D74" i="14" s="1"/>
  <c r="O31" i="12"/>
  <c r="K31" i="12"/>
  <c r="K74" i="14" s="1"/>
  <c r="G31" i="12"/>
  <c r="C31" i="12"/>
  <c r="C74" i="14" s="1"/>
  <c r="B76" i="14"/>
  <c r="L33" i="12"/>
  <c r="L76" i="14" s="1"/>
  <c r="H33" i="12"/>
  <c r="D33" i="12"/>
  <c r="D76" i="14" s="1"/>
  <c r="O33" i="12"/>
  <c r="K33" i="12"/>
  <c r="K76" i="14" s="1"/>
  <c r="G33" i="12"/>
  <c r="C33" i="12"/>
  <c r="C76" i="14" s="1"/>
  <c r="N33" i="12"/>
  <c r="N76" i="14" s="1"/>
  <c r="J33" i="12"/>
  <c r="J76" i="14" s="1"/>
  <c r="F33" i="12"/>
  <c r="M33" i="12"/>
  <c r="M76" i="14" s="1"/>
  <c r="I33" i="12"/>
  <c r="I76" i="14" s="1"/>
  <c r="E33" i="12"/>
  <c r="E76" i="14" s="1"/>
  <c r="B69" i="14"/>
  <c r="K26" i="12"/>
  <c r="K69" i="14" s="1"/>
  <c r="G26" i="12"/>
  <c r="G69" i="14" s="1"/>
  <c r="C26" i="12"/>
  <c r="C69" i="14" s="1"/>
  <c r="N26" i="12"/>
  <c r="J26" i="12"/>
  <c r="J69" i="14" s="1"/>
  <c r="F26" i="12"/>
  <c r="F69" i="14" s="1"/>
  <c r="M26" i="12"/>
  <c r="M69" i="14" s="1"/>
  <c r="I26" i="12"/>
  <c r="I69" i="14" s="1"/>
  <c r="E26" i="12"/>
  <c r="E69" i="14" s="1"/>
  <c r="L26" i="12"/>
  <c r="L69" i="14" s="1"/>
  <c r="H26" i="12"/>
  <c r="H69" i="14" s="1"/>
  <c r="D26" i="12"/>
  <c r="D69" i="14" s="1"/>
  <c r="B72" i="14"/>
  <c r="H29" i="12"/>
  <c r="H72" i="14" s="1"/>
  <c r="D29" i="12"/>
  <c r="D72" i="14" s="1"/>
  <c r="K29" i="12"/>
  <c r="K72" i="14" s="1"/>
  <c r="G29" i="12"/>
  <c r="G72" i="14" s="1"/>
  <c r="C29" i="12"/>
  <c r="C72" i="14" s="1"/>
  <c r="N29" i="12"/>
  <c r="N72" i="14" s="1"/>
  <c r="J29" i="12"/>
  <c r="J72" i="14" s="1"/>
  <c r="F29" i="12"/>
  <c r="F72" i="14" s="1"/>
  <c r="L29" i="12"/>
  <c r="L72" i="14" s="1"/>
  <c r="M29" i="12"/>
  <c r="M72" i="14" s="1"/>
  <c r="I29" i="12"/>
  <c r="I72" i="14" s="1"/>
  <c r="E29" i="12"/>
  <c r="E72" i="14" s="1"/>
  <c r="B73" i="14"/>
  <c r="K30" i="12"/>
  <c r="K73" i="14" s="1"/>
  <c r="G30" i="12"/>
  <c r="G73" i="14" s="1"/>
  <c r="N30" i="12"/>
  <c r="N73" i="14" s="1"/>
  <c r="J30" i="12"/>
  <c r="J73" i="14" s="1"/>
  <c r="F30" i="12"/>
  <c r="F73" i="14" s="1"/>
  <c r="M30" i="12"/>
  <c r="M73" i="14" s="1"/>
  <c r="I30" i="12"/>
  <c r="I73" i="14" s="1"/>
  <c r="E30" i="12"/>
  <c r="E73" i="14" s="1"/>
  <c r="L30" i="12"/>
  <c r="L73" i="14" s="1"/>
  <c r="H30" i="12"/>
  <c r="H73" i="14" s="1"/>
  <c r="D30" i="12"/>
  <c r="D73" i="14" s="1"/>
  <c r="C30" i="12"/>
  <c r="C73" i="14" s="1"/>
  <c r="B77" i="14"/>
  <c r="O34" i="12"/>
  <c r="K34" i="12"/>
  <c r="K77" i="14" s="1"/>
  <c r="G34" i="12"/>
  <c r="G77" i="14" s="1"/>
  <c r="C34" i="12"/>
  <c r="C77" i="14" s="1"/>
  <c r="N34" i="12"/>
  <c r="N77" i="14" s="1"/>
  <c r="J34" i="12"/>
  <c r="J77" i="14" s="1"/>
  <c r="F34" i="12"/>
  <c r="F77" i="14" s="1"/>
  <c r="M34" i="12"/>
  <c r="M77" i="14" s="1"/>
  <c r="I34" i="12"/>
  <c r="E34" i="12"/>
  <c r="E77" i="14" s="1"/>
  <c r="L34" i="12"/>
  <c r="L77" i="14" s="1"/>
  <c r="H34" i="12"/>
  <c r="H77" i="14" s="1"/>
  <c r="D34" i="12"/>
  <c r="D77" i="14" s="1"/>
  <c r="B71" i="14"/>
  <c r="M28" i="12"/>
  <c r="M71" i="14" s="1"/>
  <c r="I28" i="12"/>
  <c r="I71" i="14" s="1"/>
  <c r="E28" i="12"/>
  <c r="E71" i="14" s="1"/>
  <c r="L28" i="12"/>
  <c r="L71" i="14" s="1"/>
  <c r="H28" i="12"/>
  <c r="H71" i="14" s="1"/>
  <c r="D28" i="12"/>
  <c r="D71" i="14" s="1"/>
  <c r="K28" i="12"/>
  <c r="K71" i="14" s="1"/>
  <c r="G28" i="12"/>
  <c r="G71" i="14" s="1"/>
  <c r="C28" i="12"/>
  <c r="C71" i="14" s="1"/>
  <c r="N28" i="12"/>
  <c r="N71" i="14" s="1"/>
  <c r="J28" i="12"/>
  <c r="J71" i="14" s="1"/>
  <c r="F28" i="12"/>
  <c r="F71" i="14" s="1"/>
  <c r="N25" i="12"/>
  <c r="N68" i="14" s="1"/>
  <c r="J25" i="12"/>
  <c r="J68" i="14" s="1"/>
  <c r="M25" i="12"/>
  <c r="M68" i="14" s="1"/>
  <c r="I25" i="12"/>
  <c r="I68" i="14" s="1"/>
  <c r="E25" i="12"/>
  <c r="E68" i="14" s="1"/>
  <c r="L25" i="12"/>
  <c r="L68" i="14" s="1"/>
  <c r="H25" i="12"/>
  <c r="H68" i="14" s="1"/>
  <c r="D25" i="12"/>
  <c r="D68" i="14" s="1"/>
  <c r="K25" i="12"/>
  <c r="K68" i="14" s="1"/>
  <c r="G25" i="12"/>
  <c r="G68" i="14" s="1"/>
  <c r="F25" i="12"/>
  <c r="F68" i="14" s="1"/>
  <c r="B68" i="14"/>
  <c r="C25" i="12"/>
  <c r="C68" i="14" s="1"/>
  <c r="E8" i="8"/>
  <c r="Q15" i="15"/>
  <c r="O13" i="15"/>
  <c r="AA11" i="15"/>
  <c r="Q13" i="15"/>
  <c r="P15" i="15"/>
  <c r="P13" i="15"/>
  <c r="O7" i="15"/>
  <c r="R7" i="15"/>
  <c r="R12" i="15" s="1"/>
  <c r="Z7" i="15"/>
  <c r="Z12" i="15" s="1"/>
  <c r="S7" i="15"/>
  <c r="S12" i="15" s="1"/>
  <c r="P7" i="15"/>
  <c r="P12" i="15" s="1"/>
  <c r="Q7" i="15"/>
  <c r="Q12" i="15" s="1"/>
  <c r="U7" i="15"/>
  <c r="U12" i="15" s="1"/>
  <c r="T7" i="15"/>
  <c r="T12" i="15" s="1"/>
  <c r="X7" i="15"/>
  <c r="X12" i="15" s="1"/>
  <c r="W7" i="15"/>
  <c r="W12" i="15" s="1"/>
  <c r="Y7" i="15"/>
  <c r="Y12" i="15" s="1"/>
  <c r="V7" i="15"/>
  <c r="V12" i="15" s="1"/>
  <c r="G15" i="16"/>
  <c r="G19" i="16"/>
  <c r="G23" i="16"/>
  <c r="G27" i="16"/>
  <c r="G31" i="16"/>
  <c r="G35" i="16"/>
  <c r="G39" i="16"/>
  <c r="G43" i="16"/>
  <c r="G47" i="16"/>
  <c r="G51" i="16"/>
  <c r="G55" i="16"/>
  <c r="G59" i="16"/>
  <c r="G63" i="16"/>
  <c r="G67" i="16"/>
  <c r="G71" i="16"/>
  <c r="G75" i="16"/>
  <c r="G79" i="16"/>
  <c r="G83" i="16"/>
  <c r="G87" i="16"/>
  <c r="G91" i="16"/>
  <c r="G95" i="16"/>
  <c r="G99" i="16"/>
  <c r="G103" i="16"/>
  <c r="G107" i="16"/>
  <c r="G111" i="16"/>
  <c r="G115" i="16"/>
  <c r="G119" i="16"/>
  <c r="G123" i="16"/>
  <c r="G127" i="16"/>
  <c r="G131" i="16"/>
  <c r="G135" i="16"/>
  <c r="G139" i="16"/>
  <c r="G143" i="16"/>
  <c r="G147" i="16"/>
  <c r="G151" i="16"/>
  <c r="G155" i="16"/>
  <c r="G159" i="16"/>
  <c r="G163" i="16"/>
  <c r="G167" i="16"/>
  <c r="G171" i="16"/>
  <c r="G175" i="16"/>
  <c r="G179" i="16"/>
  <c r="G183" i="16"/>
  <c r="G187" i="16"/>
  <c r="G191" i="16"/>
  <c r="G195" i="16"/>
  <c r="G199" i="16"/>
  <c r="G203" i="16"/>
  <c r="G207" i="16"/>
  <c r="G211" i="16"/>
  <c r="G215" i="16"/>
  <c r="G219" i="16"/>
  <c r="G223" i="16"/>
  <c r="G227" i="16"/>
  <c r="G231" i="16"/>
  <c r="G235" i="16"/>
  <c r="G239" i="16"/>
  <c r="G243" i="16"/>
  <c r="G247" i="16"/>
  <c r="G251" i="16"/>
  <c r="G255" i="16"/>
  <c r="G259" i="16"/>
  <c r="G263" i="16"/>
  <c r="G267" i="16"/>
  <c r="G271" i="16"/>
  <c r="G275" i="16"/>
  <c r="G279" i="16"/>
  <c r="G283" i="16"/>
  <c r="G287" i="16"/>
  <c r="G291" i="16"/>
  <c r="G295" i="16"/>
  <c r="G299" i="16"/>
  <c r="G303" i="16"/>
  <c r="G307" i="16"/>
  <c r="G311" i="16"/>
  <c r="G315" i="16"/>
  <c r="G319" i="16"/>
  <c r="G323" i="16"/>
  <c r="G327" i="16"/>
  <c r="G331" i="16"/>
  <c r="G335" i="16"/>
  <c r="G339" i="16"/>
  <c r="G343" i="16"/>
  <c r="G347" i="16"/>
  <c r="G16" i="16"/>
  <c r="G24" i="16"/>
  <c r="G28" i="16"/>
  <c r="G32" i="16"/>
  <c r="G36" i="16"/>
  <c r="G40" i="16"/>
  <c r="G44" i="16"/>
  <c r="G48" i="16"/>
  <c r="G52" i="16"/>
  <c r="G56" i="16"/>
  <c r="G60" i="16"/>
  <c r="G64" i="16"/>
  <c r="G68" i="16"/>
  <c r="G72" i="16"/>
  <c r="G76" i="16"/>
  <c r="G80" i="16"/>
  <c r="G84" i="16"/>
  <c r="G88" i="16"/>
  <c r="G92" i="16"/>
  <c r="G96" i="16"/>
  <c r="G100" i="16"/>
  <c r="G104" i="16"/>
  <c r="G108" i="16"/>
  <c r="G112" i="16"/>
  <c r="G116" i="16"/>
  <c r="G120" i="16"/>
  <c r="G124" i="16"/>
  <c r="G128" i="16"/>
  <c r="G132" i="16"/>
  <c r="G136" i="16"/>
  <c r="G140" i="16"/>
  <c r="G144" i="16"/>
  <c r="G148" i="16"/>
  <c r="G152" i="16"/>
  <c r="G156" i="16"/>
  <c r="G160" i="16"/>
  <c r="G164" i="16"/>
  <c r="G168" i="16"/>
  <c r="G172" i="16"/>
  <c r="G176" i="16"/>
  <c r="G180" i="16"/>
  <c r="G184" i="16"/>
  <c r="G188" i="16"/>
  <c r="G192" i="16"/>
  <c r="G196" i="16"/>
  <c r="G200" i="16"/>
  <c r="G204" i="16"/>
  <c r="G208" i="16"/>
  <c r="G212" i="16"/>
  <c r="G216" i="16"/>
  <c r="G220" i="16"/>
  <c r="G224" i="16"/>
  <c r="G228" i="16"/>
  <c r="G232" i="16"/>
  <c r="G236" i="16"/>
  <c r="G240" i="16"/>
  <c r="G244" i="16"/>
  <c r="G248" i="16"/>
  <c r="G252" i="16"/>
  <c r="G256" i="16"/>
  <c r="G260" i="16"/>
  <c r="G264" i="16"/>
  <c r="G268" i="16"/>
  <c r="G272" i="16"/>
  <c r="G276" i="16"/>
  <c r="G280" i="16"/>
  <c r="G284" i="16"/>
  <c r="G288" i="16"/>
  <c r="G292" i="16"/>
  <c r="G296" i="16"/>
  <c r="G300" i="16"/>
  <c r="G304" i="16"/>
  <c r="G308" i="16"/>
  <c r="G312" i="16"/>
  <c r="G316" i="16"/>
  <c r="G320" i="16"/>
  <c r="G324" i="16"/>
  <c r="G328" i="16"/>
  <c r="G332" i="16"/>
  <c r="G336" i="16"/>
  <c r="G340" i="16"/>
  <c r="G344" i="16"/>
  <c r="G17" i="16"/>
  <c r="G21" i="16"/>
  <c r="G29" i="16"/>
  <c r="G33" i="16"/>
  <c r="G37" i="16"/>
  <c r="G41" i="16"/>
  <c r="G45" i="16"/>
  <c r="G49" i="16"/>
  <c r="G53" i="16"/>
  <c r="G57" i="16"/>
  <c r="G61" i="16"/>
  <c r="G65" i="16"/>
  <c r="G69" i="16"/>
  <c r="G73" i="16"/>
  <c r="G77" i="16"/>
  <c r="G81" i="16"/>
  <c r="G85" i="16"/>
  <c r="G89" i="16"/>
  <c r="G93" i="16"/>
  <c r="G97" i="16"/>
  <c r="G101" i="16"/>
  <c r="G105" i="16"/>
  <c r="G109" i="16"/>
  <c r="G113" i="16"/>
  <c r="G117" i="16"/>
  <c r="G121" i="16"/>
  <c r="G125" i="16"/>
  <c r="G129" i="16"/>
  <c r="G133" i="16"/>
  <c r="G137" i="16"/>
  <c r="G141" i="16"/>
  <c r="G145" i="16"/>
  <c r="G149" i="16"/>
  <c r="G153" i="16"/>
  <c r="G157" i="16"/>
  <c r="G161" i="16"/>
  <c r="G165" i="16"/>
  <c r="G169" i="16"/>
  <c r="G173" i="16"/>
  <c r="G177" i="16"/>
  <c r="G181" i="16"/>
  <c r="G185" i="16"/>
  <c r="G189" i="16"/>
  <c r="G193" i="16"/>
  <c r="G197" i="16"/>
  <c r="G201" i="16"/>
  <c r="G205" i="16"/>
  <c r="G209" i="16"/>
  <c r="G213" i="16"/>
  <c r="G217" i="16"/>
  <c r="G221" i="16"/>
  <c r="G225" i="16"/>
  <c r="G229" i="16"/>
  <c r="G233" i="16"/>
  <c r="G237" i="16"/>
  <c r="G241" i="16"/>
  <c r="G245" i="16"/>
  <c r="G249" i="16"/>
  <c r="G253" i="16"/>
  <c r="G257" i="16"/>
  <c r="G261" i="16"/>
  <c r="G265" i="16"/>
  <c r="G269" i="16"/>
  <c r="G273" i="16"/>
  <c r="G277" i="16"/>
  <c r="G281" i="16"/>
  <c r="G285" i="16"/>
  <c r="G289" i="16"/>
  <c r="G293" i="16"/>
  <c r="G297" i="16"/>
  <c r="G301" i="16"/>
  <c r="G305" i="16"/>
  <c r="G309" i="16"/>
  <c r="G313" i="16"/>
  <c r="G317" i="16"/>
  <c r="G321" i="16"/>
  <c r="G325" i="16"/>
  <c r="G329" i="16"/>
  <c r="G333" i="16"/>
  <c r="G337" i="16"/>
  <c r="G341" i="16"/>
  <c r="G345" i="16"/>
  <c r="G22" i="16"/>
  <c r="G26" i="16"/>
  <c r="G30" i="16"/>
  <c r="G34" i="16"/>
  <c r="G38" i="16"/>
  <c r="G42" i="16"/>
  <c r="G46" i="16"/>
  <c r="G50" i="16"/>
  <c r="G54" i="16"/>
  <c r="G58" i="16"/>
  <c r="G62" i="16"/>
  <c r="G66" i="16"/>
  <c r="G70" i="16"/>
  <c r="G74" i="16"/>
  <c r="G78" i="16"/>
  <c r="G82" i="16"/>
  <c r="G86" i="16"/>
  <c r="G90" i="16"/>
  <c r="G94" i="16"/>
  <c r="G98" i="16"/>
  <c r="G102" i="16"/>
  <c r="G106" i="16"/>
  <c r="G110" i="16"/>
  <c r="G114" i="16"/>
  <c r="G118" i="16"/>
  <c r="G122" i="16"/>
  <c r="G126" i="16"/>
  <c r="G130" i="16"/>
  <c r="G134" i="16"/>
  <c r="G138" i="16"/>
  <c r="G142" i="16"/>
  <c r="G146" i="16"/>
  <c r="G150" i="16"/>
  <c r="G154" i="16"/>
  <c r="G158" i="16"/>
  <c r="G162" i="16"/>
  <c r="G166" i="16"/>
  <c r="G170" i="16"/>
  <c r="G174" i="16"/>
  <c r="G178" i="16"/>
  <c r="G182" i="16"/>
  <c r="G186" i="16"/>
  <c r="G190" i="16"/>
  <c r="G194" i="16"/>
  <c r="G198" i="16"/>
  <c r="G202" i="16"/>
  <c r="G206" i="16"/>
  <c r="G210" i="16"/>
  <c r="G214" i="16"/>
  <c r="G218" i="16"/>
  <c r="G222" i="16"/>
  <c r="G226" i="16"/>
  <c r="G230" i="16"/>
  <c r="G234" i="16"/>
  <c r="G238" i="16"/>
  <c r="G242" i="16"/>
  <c r="G246" i="16"/>
  <c r="G250" i="16"/>
  <c r="G254" i="16"/>
  <c r="G258" i="16"/>
  <c r="G262" i="16"/>
  <c r="G266" i="16"/>
  <c r="G270" i="16"/>
  <c r="G274" i="16"/>
  <c r="G278" i="16"/>
  <c r="G282" i="16"/>
  <c r="G286" i="16"/>
  <c r="G290" i="16"/>
  <c r="G294" i="16"/>
  <c r="G298" i="16"/>
  <c r="G302" i="16"/>
  <c r="G306" i="16"/>
  <c r="G310" i="16"/>
  <c r="G314" i="16"/>
  <c r="G318" i="16"/>
  <c r="G322" i="16"/>
  <c r="G326" i="16"/>
  <c r="G330" i="16"/>
  <c r="G334" i="16"/>
  <c r="G338" i="16"/>
  <c r="G342" i="16"/>
  <c r="G346" i="16"/>
  <c r="G350" i="16"/>
  <c r="G348" i="16"/>
  <c r="G353" i="16"/>
  <c r="G357" i="16"/>
  <c r="G361" i="16"/>
  <c r="G365" i="16"/>
  <c r="G369" i="16"/>
  <c r="G373" i="16"/>
  <c r="G377" i="16"/>
  <c r="G381" i="16"/>
  <c r="G385" i="16"/>
  <c r="G389" i="16"/>
  <c r="G393" i="16"/>
  <c r="G397" i="16"/>
  <c r="G401" i="16"/>
  <c r="G405" i="16"/>
  <c r="G409" i="16"/>
  <c r="G413" i="16"/>
  <c r="G417" i="16"/>
  <c r="G421" i="16"/>
  <c r="G425" i="16"/>
  <c r="G429" i="16"/>
  <c r="G433" i="16"/>
  <c r="G437" i="16"/>
  <c r="G441" i="16"/>
  <c r="G445" i="16"/>
  <c r="G449" i="16"/>
  <c r="G453" i="16"/>
  <c r="G457" i="16"/>
  <c r="G461" i="16"/>
  <c r="G465" i="16"/>
  <c r="G469" i="16"/>
  <c r="G473" i="16"/>
  <c r="G477" i="16"/>
  <c r="G481" i="16"/>
  <c r="G485" i="16"/>
  <c r="G489" i="16"/>
  <c r="G493" i="16"/>
  <c r="G497" i="16"/>
  <c r="G501" i="16"/>
  <c r="G505" i="16"/>
  <c r="G509" i="16"/>
  <c r="G502" i="16"/>
  <c r="G506" i="16"/>
  <c r="G507" i="16"/>
  <c r="G349" i="16"/>
  <c r="G354" i="16"/>
  <c r="G358" i="16"/>
  <c r="G362" i="16"/>
  <c r="G366" i="16"/>
  <c r="G370" i="16"/>
  <c r="G374" i="16"/>
  <c r="G378" i="16"/>
  <c r="G382" i="16"/>
  <c r="G386" i="16"/>
  <c r="G390" i="16"/>
  <c r="G394" i="16"/>
  <c r="G398" i="16"/>
  <c r="G402" i="16"/>
  <c r="G406" i="16"/>
  <c r="G410" i="16"/>
  <c r="G414" i="16"/>
  <c r="G418" i="16"/>
  <c r="G422" i="16"/>
  <c r="G426" i="16"/>
  <c r="G430" i="16"/>
  <c r="G434" i="16"/>
  <c r="G438" i="16"/>
  <c r="G442" i="16"/>
  <c r="G446" i="16"/>
  <c r="G450" i="16"/>
  <c r="G454" i="16"/>
  <c r="G458" i="16"/>
  <c r="G462" i="16"/>
  <c r="G466" i="16"/>
  <c r="G470" i="16"/>
  <c r="G474" i="16"/>
  <c r="G478" i="16"/>
  <c r="G482" i="16"/>
  <c r="G486" i="16"/>
  <c r="G490" i="16"/>
  <c r="G494" i="16"/>
  <c r="G498" i="16"/>
  <c r="G510" i="16"/>
  <c r="G351" i="16"/>
  <c r="G355" i="16"/>
  <c r="G359" i="16"/>
  <c r="G363" i="16"/>
  <c r="G367" i="16"/>
  <c r="G371" i="16"/>
  <c r="G375" i="16"/>
  <c r="G379" i="16"/>
  <c r="G383" i="16"/>
  <c r="G387" i="16"/>
  <c r="G391" i="16"/>
  <c r="G395" i="16"/>
  <c r="G399" i="16"/>
  <c r="G403" i="16"/>
  <c r="G407" i="16"/>
  <c r="G411" i="16"/>
  <c r="G415" i="16"/>
  <c r="G419" i="16"/>
  <c r="G423" i="16"/>
  <c r="G427" i="16"/>
  <c r="G431" i="16"/>
  <c r="G435" i="16"/>
  <c r="G439" i="16"/>
  <c r="G443" i="16"/>
  <c r="G447" i="16"/>
  <c r="G451" i="16"/>
  <c r="G455" i="16"/>
  <c r="G459" i="16"/>
  <c r="G463" i="16"/>
  <c r="G467" i="16"/>
  <c r="G471" i="16"/>
  <c r="G475" i="16"/>
  <c r="G479" i="16"/>
  <c r="G483" i="16"/>
  <c r="G487" i="16"/>
  <c r="G491" i="16"/>
  <c r="G495" i="16"/>
  <c r="G499" i="16"/>
  <c r="G503" i="16"/>
  <c r="G352" i="16"/>
  <c r="G356" i="16"/>
  <c r="G360" i="16"/>
  <c r="G364" i="16"/>
  <c r="G368" i="16"/>
  <c r="G372" i="16"/>
  <c r="G376" i="16"/>
  <c r="G380" i="16"/>
  <c r="G384" i="16"/>
  <c r="G388" i="16"/>
  <c r="G392" i="16"/>
  <c r="G396" i="16"/>
  <c r="G400" i="16"/>
  <c r="G404" i="16"/>
  <c r="G408" i="16"/>
  <c r="G412" i="16"/>
  <c r="G416" i="16"/>
  <c r="G420" i="16"/>
  <c r="G424" i="16"/>
  <c r="G428" i="16"/>
  <c r="G432" i="16"/>
  <c r="G436" i="16"/>
  <c r="G440" i="16"/>
  <c r="G444" i="16"/>
  <c r="G448" i="16"/>
  <c r="G452" i="16"/>
  <c r="G456" i="16"/>
  <c r="G460" i="16"/>
  <c r="G464" i="16"/>
  <c r="G468" i="16"/>
  <c r="G472" i="16"/>
  <c r="G476" i="16"/>
  <c r="G480" i="16"/>
  <c r="G484" i="16"/>
  <c r="G488" i="16"/>
  <c r="G492" i="16"/>
  <c r="G496" i="16"/>
  <c r="G500" i="16"/>
  <c r="G504" i="16"/>
  <c r="G508" i="16"/>
  <c r="F26" i="16"/>
  <c r="F16" i="16"/>
  <c r="F22" i="16"/>
  <c r="F29" i="16"/>
  <c r="F30" i="16"/>
  <c r="F15" i="16"/>
  <c r="F18" i="16"/>
  <c r="F14" i="16"/>
  <c r="F19" i="16"/>
  <c r="F12" i="16"/>
  <c r="F24" i="16"/>
  <c r="F21" i="16"/>
  <c r="F27" i="16"/>
  <c r="F13" i="16"/>
  <c r="F23" i="16"/>
  <c r="F20" i="16"/>
  <c r="F25" i="16"/>
  <c r="F28" i="16"/>
  <c r="F17" i="16"/>
  <c r="I11" i="16"/>
  <c r="I510" i="16"/>
  <c r="I509" i="16"/>
  <c r="I508" i="16"/>
  <c r="I507" i="16"/>
  <c r="I506" i="16"/>
  <c r="I505" i="16"/>
  <c r="I504" i="16"/>
  <c r="I503" i="16"/>
  <c r="I502" i="16"/>
  <c r="I501" i="16"/>
  <c r="I500" i="16"/>
  <c r="I499" i="16"/>
  <c r="I498" i="16"/>
  <c r="I497" i="16"/>
  <c r="I496" i="16"/>
  <c r="I495" i="16"/>
  <c r="I494" i="16"/>
  <c r="I493" i="16"/>
  <c r="I492" i="16"/>
  <c r="I491" i="16"/>
  <c r="I490" i="16"/>
  <c r="I489" i="16"/>
  <c r="I488" i="16"/>
  <c r="I487" i="16"/>
  <c r="I486" i="16"/>
  <c r="I485" i="16"/>
  <c r="I484" i="16"/>
  <c r="I483" i="16"/>
  <c r="I482" i="16"/>
  <c r="I481" i="16"/>
  <c r="I480" i="16"/>
  <c r="I479" i="16"/>
  <c r="I478" i="16"/>
  <c r="I477" i="16"/>
  <c r="I476" i="16"/>
  <c r="I475" i="16"/>
  <c r="I474" i="16"/>
  <c r="I473" i="16"/>
  <c r="I472" i="16"/>
  <c r="I471" i="16"/>
  <c r="I470" i="16"/>
  <c r="I469" i="16"/>
  <c r="I468" i="16"/>
  <c r="I467" i="16"/>
  <c r="I466" i="16"/>
  <c r="I465" i="16"/>
  <c r="I464" i="16"/>
  <c r="I463" i="16"/>
  <c r="I462" i="16"/>
  <c r="I461" i="16"/>
  <c r="I460" i="16"/>
  <c r="I459" i="16"/>
  <c r="I458" i="16"/>
  <c r="I457" i="16"/>
  <c r="I456" i="16"/>
  <c r="I455" i="16"/>
  <c r="I454" i="16"/>
  <c r="I453" i="16"/>
  <c r="I452" i="16"/>
  <c r="I451" i="16"/>
  <c r="I450" i="16"/>
  <c r="I449" i="16"/>
  <c r="I448" i="16"/>
  <c r="I447" i="16"/>
  <c r="I446" i="16"/>
  <c r="I445" i="16"/>
  <c r="I444" i="16"/>
  <c r="I443" i="16"/>
  <c r="I442" i="16"/>
  <c r="I441" i="16"/>
  <c r="I440" i="16"/>
  <c r="I439" i="16"/>
  <c r="I438" i="16"/>
  <c r="I437" i="16"/>
  <c r="I436" i="16"/>
  <c r="I435" i="16"/>
  <c r="I434" i="16"/>
  <c r="I433" i="16"/>
  <c r="I432" i="16"/>
  <c r="I431" i="16"/>
  <c r="I430" i="16"/>
  <c r="I429" i="16"/>
  <c r="I428" i="16"/>
  <c r="I427" i="16"/>
  <c r="I426" i="16"/>
  <c r="I425" i="16"/>
  <c r="I424" i="16"/>
  <c r="I423" i="16"/>
  <c r="I422" i="16"/>
  <c r="I421" i="16"/>
  <c r="I420" i="16"/>
  <c r="I419" i="16"/>
  <c r="I418" i="16"/>
  <c r="I417" i="16"/>
  <c r="I416" i="16"/>
  <c r="I415" i="16"/>
  <c r="I414" i="16"/>
  <c r="I413" i="16"/>
  <c r="I412" i="16"/>
  <c r="I411" i="16"/>
  <c r="I410" i="16"/>
  <c r="I409" i="16"/>
  <c r="I408" i="16"/>
  <c r="I407" i="16"/>
  <c r="I406" i="16"/>
  <c r="I405" i="16"/>
  <c r="I404" i="16"/>
  <c r="I403" i="16"/>
  <c r="I402" i="16"/>
  <c r="I401" i="16"/>
  <c r="I400" i="16"/>
  <c r="I399" i="16"/>
  <c r="I398" i="16"/>
  <c r="I397" i="16"/>
  <c r="I396" i="16"/>
  <c r="I395" i="16"/>
  <c r="I394" i="16"/>
  <c r="I393" i="16"/>
  <c r="I392" i="16"/>
  <c r="I391" i="16"/>
  <c r="I390" i="16"/>
  <c r="I389" i="16"/>
  <c r="I388" i="16"/>
  <c r="I387" i="16"/>
  <c r="I386" i="16"/>
  <c r="I385" i="16"/>
  <c r="I384" i="16"/>
  <c r="I383" i="16"/>
  <c r="I382" i="16"/>
  <c r="I381" i="16"/>
  <c r="I380" i="16"/>
  <c r="I379" i="16"/>
  <c r="I378" i="16"/>
  <c r="I377" i="16"/>
  <c r="I376" i="16"/>
  <c r="I375" i="16"/>
  <c r="I374" i="16"/>
  <c r="I373" i="16"/>
  <c r="I372" i="16"/>
  <c r="I371" i="16"/>
  <c r="I370" i="16"/>
  <c r="I369" i="16"/>
  <c r="I368" i="16"/>
  <c r="I367" i="16"/>
  <c r="I366" i="16"/>
  <c r="I365" i="16"/>
  <c r="I364" i="16"/>
  <c r="I363" i="16"/>
  <c r="I362" i="16"/>
  <c r="I361" i="16"/>
  <c r="I360" i="16"/>
  <c r="I359" i="16"/>
  <c r="I358" i="16"/>
  <c r="I357" i="16"/>
  <c r="I356" i="16"/>
  <c r="I355" i="16"/>
  <c r="I354" i="16"/>
  <c r="I353" i="16"/>
  <c r="I352" i="16"/>
  <c r="I351" i="16"/>
  <c r="I350" i="16"/>
  <c r="I349" i="16"/>
  <c r="I348" i="16"/>
  <c r="I347" i="16"/>
  <c r="I346" i="16"/>
  <c r="I345" i="16"/>
  <c r="I344" i="16"/>
  <c r="I343" i="16"/>
  <c r="I342" i="16"/>
  <c r="I341" i="16"/>
  <c r="I340" i="16"/>
  <c r="I339" i="16"/>
  <c r="I338" i="16"/>
  <c r="I337" i="16"/>
  <c r="I336" i="16"/>
  <c r="I335" i="16"/>
  <c r="I334" i="16"/>
  <c r="I333" i="16"/>
  <c r="I332" i="16"/>
  <c r="I331" i="16"/>
  <c r="I330" i="16"/>
  <c r="I329" i="16"/>
  <c r="I328" i="16"/>
  <c r="I327" i="16"/>
  <c r="I326" i="16"/>
  <c r="I325" i="16"/>
  <c r="I324" i="16"/>
  <c r="I323" i="16"/>
  <c r="I322" i="16"/>
  <c r="I321" i="16"/>
  <c r="I320" i="16"/>
  <c r="I319" i="16"/>
  <c r="I318" i="16"/>
  <c r="I317" i="16"/>
  <c r="I316" i="16"/>
  <c r="I315" i="16"/>
  <c r="I314" i="16"/>
  <c r="I313" i="16"/>
  <c r="I312" i="16"/>
  <c r="I311" i="16"/>
  <c r="I310" i="16"/>
  <c r="I309" i="16"/>
  <c r="I308" i="16"/>
  <c r="I307" i="16"/>
  <c r="I306" i="16"/>
  <c r="I305" i="16"/>
  <c r="I304" i="16"/>
  <c r="I303" i="16"/>
  <c r="I302" i="16"/>
  <c r="I301" i="16"/>
  <c r="I300" i="16"/>
  <c r="I299" i="16"/>
  <c r="I298" i="16"/>
  <c r="I297" i="16"/>
  <c r="I296" i="16"/>
  <c r="I295" i="16"/>
  <c r="I294" i="16"/>
  <c r="I293" i="16"/>
  <c r="I292" i="16"/>
  <c r="I291" i="16"/>
  <c r="I290" i="16"/>
  <c r="I289" i="16"/>
  <c r="I288" i="16"/>
  <c r="I287" i="16"/>
  <c r="I286" i="16"/>
  <c r="I285" i="16"/>
  <c r="I284" i="16"/>
  <c r="I283" i="16"/>
  <c r="I282" i="16"/>
  <c r="I281" i="16"/>
  <c r="I280" i="16"/>
  <c r="I279" i="16"/>
  <c r="I278" i="16"/>
  <c r="I277" i="16"/>
  <c r="I276" i="16"/>
  <c r="I275" i="16"/>
  <c r="I274" i="16"/>
  <c r="I273" i="16"/>
  <c r="I272" i="16"/>
  <c r="I271" i="16"/>
  <c r="I270" i="16"/>
  <c r="I269" i="16"/>
  <c r="I268" i="16"/>
  <c r="I267" i="16"/>
  <c r="I266" i="16"/>
  <c r="I265" i="16"/>
  <c r="I264" i="16"/>
  <c r="I263" i="16"/>
  <c r="I262" i="16"/>
  <c r="I261" i="16"/>
  <c r="I260" i="16"/>
  <c r="I259" i="16"/>
  <c r="I258" i="16"/>
  <c r="I257" i="16"/>
  <c r="I256" i="16"/>
  <c r="I255" i="16"/>
  <c r="I254" i="16"/>
  <c r="I253" i="16"/>
  <c r="I252" i="16"/>
  <c r="I251" i="16"/>
  <c r="I250" i="16"/>
  <c r="I249" i="16"/>
  <c r="I248" i="16"/>
  <c r="I247" i="16"/>
  <c r="I246" i="16"/>
  <c r="I245" i="16"/>
  <c r="I244" i="16"/>
  <c r="I243" i="16"/>
  <c r="I242" i="16"/>
  <c r="I241" i="16"/>
  <c r="I240" i="16"/>
  <c r="I239" i="16"/>
  <c r="I238" i="16"/>
  <c r="I237" i="16"/>
  <c r="I236" i="16"/>
  <c r="I235" i="16"/>
  <c r="I234" i="16"/>
  <c r="I233" i="16"/>
  <c r="I232" i="16"/>
  <c r="I231" i="16"/>
  <c r="I230" i="16"/>
  <c r="I229" i="16"/>
  <c r="I228" i="16"/>
  <c r="I227" i="16"/>
  <c r="I226" i="16"/>
  <c r="I225" i="16"/>
  <c r="I224" i="16"/>
  <c r="I223" i="16"/>
  <c r="I222" i="16"/>
  <c r="I221" i="16"/>
  <c r="I220" i="16"/>
  <c r="I219" i="16"/>
  <c r="I218" i="16"/>
  <c r="I217" i="16"/>
  <c r="I216" i="16"/>
  <c r="I215" i="16"/>
  <c r="I214" i="16"/>
  <c r="I213" i="16"/>
  <c r="I212" i="16"/>
  <c r="I211" i="16"/>
  <c r="I210" i="16"/>
  <c r="I209" i="16"/>
  <c r="I208" i="16"/>
  <c r="I207" i="16"/>
  <c r="I206" i="16"/>
  <c r="I205" i="16"/>
  <c r="I204" i="16"/>
  <c r="I203" i="16"/>
  <c r="I202" i="16"/>
  <c r="I201" i="16"/>
  <c r="I200" i="16"/>
  <c r="I199" i="16"/>
  <c r="I198" i="16"/>
  <c r="I197" i="16"/>
  <c r="I196" i="16"/>
  <c r="I195" i="16"/>
  <c r="I194" i="16"/>
  <c r="I193" i="16"/>
  <c r="I192" i="16"/>
  <c r="I191" i="16"/>
  <c r="I190" i="16"/>
  <c r="I189" i="16"/>
  <c r="I188" i="16"/>
  <c r="I187" i="16"/>
  <c r="I186" i="16"/>
  <c r="I185" i="16"/>
  <c r="I184" i="16"/>
  <c r="I183" i="16"/>
  <c r="I182" i="16"/>
  <c r="I181" i="16"/>
  <c r="I180" i="16"/>
  <c r="I179" i="16"/>
  <c r="I178" i="16"/>
  <c r="I177" i="16"/>
  <c r="I176" i="16"/>
  <c r="I175" i="16"/>
  <c r="I174" i="16"/>
  <c r="I173" i="16"/>
  <c r="I172" i="16"/>
  <c r="I171" i="16"/>
  <c r="I170" i="16"/>
  <c r="I169" i="16"/>
  <c r="I168" i="16"/>
  <c r="I167" i="16"/>
  <c r="I166" i="16"/>
  <c r="I165" i="16"/>
  <c r="I164" i="16"/>
  <c r="I163" i="16"/>
  <c r="I162" i="16"/>
  <c r="I161" i="16"/>
  <c r="I160" i="16"/>
  <c r="I159" i="16"/>
  <c r="I158" i="16"/>
  <c r="I157" i="16"/>
  <c r="I156" i="16"/>
  <c r="I155" i="16"/>
  <c r="I154" i="16"/>
  <c r="I153" i="16"/>
  <c r="I152" i="16"/>
  <c r="I151" i="16"/>
  <c r="I150" i="16"/>
  <c r="I149" i="16"/>
  <c r="I148" i="16"/>
  <c r="I147" i="16"/>
  <c r="I146" i="16"/>
  <c r="I145" i="16"/>
  <c r="I144" i="16"/>
  <c r="I143" i="16"/>
  <c r="I142" i="16"/>
  <c r="I141" i="16"/>
  <c r="I140" i="16"/>
  <c r="I139" i="16"/>
  <c r="I138" i="16"/>
  <c r="I137" i="16"/>
  <c r="I136" i="16"/>
  <c r="I135" i="16"/>
  <c r="I134" i="16"/>
  <c r="I133" i="16"/>
  <c r="I132" i="16"/>
  <c r="I131" i="16"/>
  <c r="I130" i="16"/>
  <c r="I129" i="16"/>
  <c r="I128" i="16"/>
  <c r="I127" i="16"/>
  <c r="I126" i="16"/>
  <c r="I125" i="16"/>
  <c r="I124" i="16"/>
  <c r="I123" i="16"/>
  <c r="I122" i="16"/>
  <c r="I121" i="16"/>
  <c r="I120" i="16"/>
  <c r="I119" i="16"/>
  <c r="I118" i="16"/>
  <c r="I117" i="16"/>
  <c r="I116" i="16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4" i="16"/>
  <c r="I23" i="16"/>
  <c r="I22" i="16"/>
  <c r="I21" i="16"/>
  <c r="I19" i="16"/>
  <c r="I17" i="16"/>
  <c r="I16" i="16"/>
  <c r="I15" i="16"/>
  <c r="I14" i="16"/>
  <c r="F11" i="16"/>
  <c r="L163" i="14"/>
  <c r="G163" i="14"/>
  <c r="F163" i="14"/>
  <c r="L159" i="14"/>
  <c r="G159" i="14"/>
  <c r="F159" i="14"/>
  <c r="J156" i="14"/>
  <c r="M156" i="14"/>
  <c r="E156" i="14"/>
  <c r="H156" i="14"/>
  <c r="K156" i="14"/>
  <c r="C156" i="14"/>
  <c r="F156" i="14"/>
  <c r="I157" i="14"/>
  <c r="L157" i="14"/>
  <c r="D157" i="14"/>
  <c r="G157" i="14"/>
  <c r="N157" i="14"/>
  <c r="F157" i="14"/>
  <c r="M160" i="14"/>
  <c r="E160" i="14"/>
  <c r="H160" i="14"/>
  <c r="K160" i="14"/>
  <c r="G160" i="14"/>
  <c r="C160" i="14"/>
  <c r="J160" i="14"/>
  <c r="I161" i="14"/>
  <c r="L161" i="14"/>
  <c r="D161" i="14"/>
  <c r="N161" i="14"/>
  <c r="M158" i="14"/>
  <c r="E158" i="14"/>
  <c r="H158" i="14"/>
  <c r="K158" i="14"/>
  <c r="C158" i="14"/>
  <c r="J158" i="14"/>
  <c r="L155" i="14"/>
  <c r="G155" i="14"/>
  <c r="F155" i="14"/>
  <c r="M162" i="14"/>
  <c r="E162" i="14"/>
  <c r="H162" i="14"/>
  <c r="K162" i="14"/>
  <c r="C162" i="14"/>
  <c r="J162" i="14"/>
  <c r="N154" i="14"/>
  <c r="D154" i="14"/>
  <c r="I154" i="14"/>
  <c r="B115" i="14"/>
  <c r="B113" i="14"/>
  <c r="B120" i="14"/>
  <c r="E11" i="8"/>
  <c r="D7" i="8"/>
  <c r="O20" i="15" s="1"/>
  <c r="D9" i="8"/>
  <c r="O22" i="15" s="1"/>
  <c r="E16" i="8"/>
  <c r="E15" i="8"/>
  <c r="D11" i="8"/>
  <c r="O24" i="15" s="1"/>
  <c r="D13" i="8"/>
  <c r="O26" i="15" s="1"/>
  <c r="E13" i="8"/>
  <c r="D8" i="8"/>
  <c r="O21" i="15" s="1"/>
  <c r="D15" i="8"/>
  <c r="O28" i="15" s="1"/>
  <c r="D12" i="8"/>
  <c r="O25" i="15" s="1"/>
  <c r="E14" i="8"/>
  <c r="E12" i="8"/>
  <c r="D14" i="8"/>
  <c r="O27" i="15" s="1"/>
  <c r="D16" i="8"/>
  <c r="O29" i="15" s="1"/>
  <c r="D10" i="8"/>
  <c r="O23" i="15" s="1"/>
  <c r="E10" i="8"/>
  <c r="E9" i="8"/>
  <c r="E7" i="8"/>
  <c r="L70" i="14"/>
  <c r="F70" i="14"/>
  <c r="G70" i="14"/>
  <c r="I75" i="14"/>
  <c r="E75" i="14"/>
  <c r="D75" i="14"/>
  <c r="C75" i="14"/>
  <c r="M74" i="14"/>
  <c r="H74" i="14"/>
  <c r="G74" i="14"/>
  <c r="H76" i="14"/>
  <c r="F76" i="14"/>
  <c r="G76" i="14"/>
  <c r="N69" i="14"/>
  <c r="I77" i="14"/>
  <c r="B12" i="9"/>
  <c r="B28" i="2"/>
  <c r="B27" i="2"/>
  <c r="I12" i="16" l="1"/>
  <c r="G14" i="16"/>
  <c r="G12" i="16"/>
  <c r="I20" i="16"/>
  <c r="G18" i="16"/>
  <c r="I25" i="16"/>
  <c r="G13" i="16"/>
  <c r="I13" i="16"/>
  <c r="I18" i="16"/>
  <c r="G25" i="16"/>
  <c r="G20" i="16"/>
  <c r="N88" i="12"/>
  <c r="N247" i="14" s="1"/>
  <c r="J88" i="12"/>
  <c r="J247" i="14" s="1"/>
  <c r="F88" i="12"/>
  <c r="F247" i="14" s="1"/>
  <c r="M88" i="12"/>
  <c r="M247" i="14" s="1"/>
  <c r="I88" i="12"/>
  <c r="I247" i="14" s="1"/>
  <c r="E88" i="12"/>
  <c r="E247" i="14" s="1"/>
  <c r="L88" i="12"/>
  <c r="L247" i="14" s="1"/>
  <c r="H88" i="12"/>
  <c r="H247" i="14" s="1"/>
  <c r="D88" i="12"/>
  <c r="D247" i="14" s="1"/>
  <c r="K88" i="12"/>
  <c r="K247" i="14" s="1"/>
  <c r="G88" i="12"/>
  <c r="G247" i="14" s="1"/>
  <c r="C88" i="12"/>
  <c r="C247" i="14" s="1"/>
  <c r="N82" i="12"/>
  <c r="N241" i="14" s="1"/>
  <c r="J82" i="12"/>
  <c r="J241" i="14" s="1"/>
  <c r="F82" i="12"/>
  <c r="F241" i="14" s="1"/>
  <c r="M82" i="12"/>
  <c r="M241" i="14" s="1"/>
  <c r="I82" i="12"/>
  <c r="I241" i="14" s="1"/>
  <c r="E82" i="12"/>
  <c r="E241" i="14" s="1"/>
  <c r="L82" i="12"/>
  <c r="L241" i="14" s="1"/>
  <c r="H82" i="12"/>
  <c r="H241" i="14" s="1"/>
  <c r="D82" i="12"/>
  <c r="D241" i="14" s="1"/>
  <c r="K82" i="12"/>
  <c r="K241" i="14" s="1"/>
  <c r="G82" i="12"/>
  <c r="G241" i="14" s="1"/>
  <c r="C82" i="12"/>
  <c r="C241" i="14" s="1"/>
  <c r="N85" i="12"/>
  <c r="N244" i="14" s="1"/>
  <c r="J85" i="12"/>
  <c r="J244" i="14" s="1"/>
  <c r="F85" i="12"/>
  <c r="F244" i="14" s="1"/>
  <c r="M85" i="12"/>
  <c r="M244" i="14" s="1"/>
  <c r="I85" i="12"/>
  <c r="I244" i="14" s="1"/>
  <c r="E85" i="12"/>
  <c r="E244" i="14" s="1"/>
  <c r="L85" i="12"/>
  <c r="L244" i="14" s="1"/>
  <c r="H85" i="12"/>
  <c r="H244" i="14" s="1"/>
  <c r="D85" i="12"/>
  <c r="D244" i="14" s="1"/>
  <c r="K85" i="12"/>
  <c r="K244" i="14" s="1"/>
  <c r="G85" i="12"/>
  <c r="G244" i="14" s="1"/>
  <c r="C85" i="12"/>
  <c r="C244" i="14" s="1"/>
  <c r="N86" i="12"/>
  <c r="N245" i="14" s="1"/>
  <c r="J86" i="12"/>
  <c r="J245" i="14" s="1"/>
  <c r="F86" i="12"/>
  <c r="F245" i="14" s="1"/>
  <c r="M86" i="12"/>
  <c r="M245" i="14" s="1"/>
  <c r="I86" i="12"/>
  <c r="I245" i="14" s="1"/>
  <c r="E86" i="12"/>
  <c r="E245" i="14" s="1"/>
  <c r="L86" i="12"/>
  <c r="L245" i="14" s="1"/>
  <c r="H86" i="12"/>
  <c r="H245" i="14" s="1"/>
  <c r="D86" i="12"/>
  <c r="D245" i="14" s="1"/>
  <c r="K86" i="12"/>
  <c r="K245" i="14" s="1"/>
  <c r="G86" i="12"/>
  <c r="G245" i="14" s="1"/>
  <c r="C86" i="12"/>
  <c r="C245" i="14" s="1"/>
  <c r="N87" i="12"/>
  <c r="N246" i="14" s="1"/>
  <c r="J87" i="12"/>
  <c r="J246" i="14" s="1"/>
  <c r="F87" i="12"/>
  <c r="F246" i="14" s="1"/>
  <c r="M87" i="12"/>
  <c r="M246" i="14" s="1"/>
  <c r="I87" i="12"/>
  <c r="I246" i="14" s="1"/>
  <c r="E87" i="12"/>
  <c r="E246" i="14" s="1"/>
  <c r="L87" i="12"/>
  <c r="L246" i="14" s="1"/>
  <c r="H87" i="12"/>
  <c r="H246" i="14" s="1"/>
  <c r="D87" i="12"/>
  <c r="D246" i="14" s="1"/>
  <c r="K87" i="12"/>
  <c r="K246" i="14" s="1"/>
  <c r="G87" i="12"/>
  <c r="G246" i="14" s="1"/>
  <c r="C87" i="12"/>
  <c r="C246" i="14" s="1"/>
  <c r="N89" i="12"/>
  <c r="N248" i="14" s="1"/>
  <c r="J89" i="12"/>
  <c r="J248" i="14" s="1"/>
  <c r="F89" i="12"/>
  <c r="F248" i="14" s="1"/>
  <c r="M89" i="12"/>
  <c r="M248" i="14" s="1"/>
  <c r="I89" i="12"/>
  <c r="I248" i="14" s="1"/>
  <c r="E89" i="12"/>
  <c r="E248" i="14" s="1"/>
  <c r="L89" i="12"/>
  <c r="L248" i="14" s="1"/>
  <c r="H89" i="12"/>
  <c r="H248" i="14" s="1"/>
  <c r="D89" i="12"/>
  <c r="D248" i="14" s="1"/>
  <c r="K89" i="12"/>
  <c r="K248" i="14" s="1"/>
  <c r="G89" i="12"/>
  <c r="G248" i="14" s="1"/>
  <c r="C89" i="12"/>
  <c r="C248" i="14" s="1"/>
  <c r="N90" i="12"/>
  <c r="N249" i="14" s="1"/>
  <c r="J90" i="12"/>
  <c r="J249" i="14" s="1"/>
  <c r="F90" i="12"/>
  <c r="F249" i="14" s="1"/>
  <c r="M90" i="12"/>
  <c r="M249" i="14" s="1"/>
  <c r="I90" i="12"/>
  <c r="I249" i="14" s="1"/>
  <c r="E90" i="12"/>
  <c r="E249" i="14" s="1"/>
  <c r="L90" i="12"/>
  <c r="L249" i="14" s="1"/>
  <c r="H90" i="12"/>
  <c r="H249" i="14" s="1"/>
  <c r="D90" i="12"/>
  <c r="D249" i="14" s="1"/>
  <c r="K90" i="12"/>
  <c r="K249" i="14" s="1"/>
  <c r="G90" i="12"/>
  <c r="G249" i="14" s="1"/>
  <c r="C90" i="12"/>
  <c r="C249" i="14" s="1"/>
  <c r="N84" i="12"/>
  <c r="N243" i="14" s="1"/>
  <c r="J84" i="12"/>
  <c r="J243" i="14" s="1"/>
  <c r="F84" i="12"/>
  <c r="F243" i="14" s="1"/>
  <c r="M84" i="12"/>
  <c r="M243" i="14" s="1"/>
  <c r="I84" i="12"/>
  <c r="I243" i="14" s="1"/>
  <c r="E84" i="12"/>
  <c r="E243" i="14" s="1"/>
  <c r="L84" i="12"/>
  <c r="L243" i="14" s="1"/>
  <c r="H84" i="12"/>
  <c r="H243" i="14" s="1"/>
  <c r="D84" i="12"/>
  <c r="D243" i="14" s="1"/>
  <c r="K84" i="12"/>
  <c r="K243" i="14" s="1"/>
  <c r="G84" i="12"/>
  <c r="G243" i="14" s="1"/>
  <c r="C84" i="12"/>
  <c r="C243" i="14" s="1"/>
  <c r="N83" i="12"/>
  <c r="N242" i="14" s="1"/>
  <c r="J83" i="12"/>
  <c r="J242" i="14" s="1"/>
  <c r="F83" i="12"/>
  <c r="F242" i="14" s="1"/>
  <c r="M83" i="12"/>
  <c r="M242" i="14" s="1"/>
  <c r="I83" i="12"/>
  <c r="I242" i="14" s="1"/>
  <c r="E83" i="12"/>
  <c r="E242" i="14" s="1"/>
  <c r="L83" i="12"/>
  <c r="L242" i="14" s="1"/>
  <c r="H83" i="12"/>
  <c r="H242" i="14" s="1"/>
  <c r="D83" i="12"/>
  <c r="D242" i="14" s="1"/>
  <c r="K83" i="12"/>
  <c r="K242" i="14" s="1"/>
  <c r="G83" i="12"/>
  <c r="G242" i="14" s="1"/>
  <c r="C83" i="12"/>
  <c r="C242" i="14" s="1"/>
  <c r="C81" i="12"/>
  <c r="C240" i="14" s="1"/>
  <c r="N81" i="12"/>
  <c r="N240" i="14" s="1"/>
  <c r="J81" i="12"/>
  <c r="J240" i="14" s="1"/>
  <c r="F81" i="12"/>
  <c r="F240" i="14" s="1"/>
  <c r="M81" i="12"/>
  <c r="M240" i="14" s="1"/>
  <c r="I81" i="12"/>
  <c r="I240" i="14" s="1"/>
  <c r="E81" i="12"/>
  <c r="E240" i="14" s="1"/>
  <c r="L81" i="12"/>
  <c r="L240" i="14" s="1"/>
  <c r="H81" i="12"/>
  <c r="H240" i="14" s="1"/>
  <c r="D81" i="12"/>
  <c r="D240" i="14" s="1"/>
  <c r="K81" i="12"/>
  <c r="K240" i="14" s="1"/>
  <c r="G81" i="12"/>
  <c r="G240" i="14" s="1"/>
  <c r="B76" i="12"/>
  <c r="B206" i="14" s="1"/>
  <c r="B72" i="12"/>
  <c r="B202" i="14" s="1"/>
  <c r="B68" i="12"/>
  <c r="B198" i="14" s="1"/>
  <c r="B75" i="12"/>
  <c r="B205" i="14" s="1"/>
  <c r="B71" i="12"/>
  <c r="B201" i="14" s="1"/>
  <c r="B74" i="12"/>
  <c r="B204" i="14" s="1"/>
  <c r="B70" i="12"/>
  <c r="B200" i="14" s="1"/>
  <c r="B73" i="12"/>
  <c r="B203" i="14" s="1"/>
  <c r="B69" i="12"/>
  <c r="B199" i="14" s="1"/>
  <c r="B67" i="12"/>
  <c r="B197" i="14" s="1"/>
  <c r="O85" i="12"/>
  <c r="O244" i="14" s="1"/>
  <c r="O89" i="12"/>
  <c r="O248" i="14" s="1"/>
  <c r="O87" i="12"/>
  <c r="O246" i="14" s="1"/>
  <c r="O90" i="12"/>
  <c r="O249" i="14" s="1"/>
  <c r="O88" i="12"/>
  <c r="O247" i="14" s="1"/>
  <c r="O86" i="12"/>
  <c r="O245" i="14" s="1"/>
  <c r="O59" i="12"/>
  <c r="O160" i="14" s="1"/>
  <c r="O55" i="12"/>
  <c r="O156" i="14" s="1"/>
  <c r="O60" i="12"/>
  <c r="O161" i="14" s="1"/>
  <c r="O56" i="12"/>
  <c r="O157" i="14" s="1"/>
  <c r="O62" i="12"/>
  <c r="O163" i="14" s="1"/>
  <c r="O54" i="12"/>
  <c r="O155" i="14" s="1"/>
  <c r="O58" i="12"/>
  <c r="O159" i="14" s="1"/>
  <c r="O61" i="12"/>
  <c r="O162" i="14" s="1"/>
  <c r="O57" i="12"/>
  <c r="O158" i="14" s="1"/>
  <c r="O53" i="12"/>
  <c r="O154" i="14" s="1"/>
  <c r="M42" i="12"/>
  <c r="M114" i="14" s="1"/>
  <c r="I42" i="12"/>
  <c r="I114" i="14" s="1"/>
  <c r="E42" i="12"/>
  <c r="E114" i="14" s="1"/>
  <c r="L42" i="12"/>
  <c r="L114" i="14" s="1"/>
  <c r="H42" i="12"/>
  <c r="H114" i="14" s="1"/>
  <c r="D42" i="12"/>
  <c r="D114" i="14" s="1"/>
  <c r="K42" i="12"/>
  <c r="K114" i="14" s="1"/>
  <c r="G42" i="12"/>
  <c r="G114" i="14" s="1"/>
  <c r="C42" i="12"/>
  <c r="C114" i="14" s="1"/>
  <c r="N42" i="12"/>
  <c r="N114" i="14" s="1"/>
  <c r="J42" i="12"/>
  <c r="J114" i="14" s="1"/>
  <c r="F42" i="12"/>
  <c r="F114" i="14" s="1"/>
  <c r="K40" i="12"/>
  <c r="K112" i="14" s="1"/>
  <c r="G40" i="12"/>
  <c r="G112" i="14" s="1"/>
  <c r="C40" i="12"/>
  <c r="C112" i="14" s="1"/>
  <c r="N40" i="12"/>
  <c r="N112" i="14" s="1"/>
  <c r="J40" i="12"/>
  <c r="J112" i="14" s="1"/>
  <c r="F40" i="12"/>
  <c r="F112" i="14" s="1"/>
  <c r="M40" i="12"/>
  <c r="M112" i="14" s="1"/>
  <c r="I40" i="12"/>
  <c r="I112" i="14" s="1"/>
  <c r="E40" i="12"/>
  <c r="E112" i="14" s="1"/>
  <c r="L40" i="12"/>
  <c r="L112" i="14" s="1"/>
  <c r="H40" i="12"/>
  <c r="H112" i="14" s="1"/>
  <c r="D40" i="12"/>
  <c r="D112" i="14" s="1"/>
  <c r="M46" i="12"/>
  <c r="M118" i="14" s="1"/>
  <c r="I46" i="12"/>
  <c r="I118" i="14" s="1"/>
  <c r="E46" i="12"/>
  <c r="E118" i="14" s="1"/>
  <c r="L46" i="12"/>
  <c r="L118" i="14" s="1"/>
  <c r="H46" i="12"/>
  <c r="H118" i="14" s="1"/>
  <c r="D46" i="12"/>
  <c r="D118" i="14" s="1"/>
  <c r="K46" i="12"/>
  <c r="K118" i="14" s="1"/>
  <c r="G46" i="12"/>
  <c r="G118" i="14" s="1"/>
  <c r="C46" i="12"/>
  <c r="C118" i="14" s="1"/>
  <c r="N46" i="12"/>
  <c r="N118" i="14" s="1"/>
  <c r="J46" i="12"/>
  <c r="J118" i="14" s="1"/>
  <c r="F46" i="12"/>
  <c r="F118" i="14" s="1"/>
  <c r="K44" i="12"/>
  <c r="K116" i="14" s="1"/>
  <c r="G44" i="12"/>
  <c r="G116" i="14" s="1"/>
  <c r="C44" i="12"/>
  <c r="C116" i="14" s="1"/>
  <c r="N44" i="12"/>
  <c r="N116" i="14" s="1"/>
  <c r="J44" i="12"/>
  <c r="J116" i="14" s="1"/>
  <c r="F44" i="12"/>
  <c r="F116" i="14" s="1"/>
  <c r="M44" i="12"/>
  <c r="M116" i="14" s="1"/>
  <c r="I44" i="12"/>
  <c r="I116" i="14" s="1"/>
  <c r="E44" i="12"/>
  <c r="E116" i="14" s="1"/>
  <c r="L44" i="12"/>
  <c r="L116" i="14" s="1"/>
  <c r="H44" i="12"/>
  <c r="H116" i="14" s="1"/>
  <c r="D44" i="12"/>
  <c r="D116" i="14" s="1"/>
  <c r="N41" i="12"/>
  <c r="N113" i="14" s="1"/>
  <c r="J41" i="12"/>
  <c r="J113" i="14" s="1"/>
  <c r="F41" i="12"/>
  <c r="F113" i="14" s="1"/>
  <c r="M41" i="12"/>
  <c r="M113" i="14" s="1"/>
  <c r="I41" i="12"/>
  <c r="I113" i="14" s="1"/>
  <c r="E41" i="12"/>
  <c r="E113" i="14" s="1"/>
  <c r="L41" i="12"/>
  <c r="L113" i="14" s="1"/>
  <c r="H41" i="12"/>
  <c r="H113" i="14" s="1"/>
  <c r="D41" i="12"/>
  <c r="K41" i="12"/>
  <c r="K113" i="14" s="1"/>
  <c r="G41" i="12"/>
  <c r="G113" i="14" s="1"/>
  <c r="C41" i="12"/>
  <c r="C113" i="14" s="1"/>
  <c r="L43" i="12"/>
  <c r="L115" i="14" s="1"/>
  <c r="H43" i="12"/>
  <c r="H115" i="14" s="1"/>
  <c r="D43" i="12"/>
  <c r="D115" i="14" s="1"/>
  <c r="K43" i="12"/>
  <c r="K115" i="14" s="1"/>
  <c r="G43" i="12"/>
  <c r="G115" i="14" s="1"/>
  <c r="C43" i="12"/>
  <c r="C115" i="14" s="1"/>
  <c r="N43" i="12"/>
  <c r="N115" i="14" s="1"/>
  <c r="J43" i="12"/>
  <c r="J115" i="14" s="1"/>
  <c r="F43" i="12"/>
  <c r="F115" i="14" s="1"/>
  <c r="M43" i="12"/>
  <c r="M115" i="14" s="1"/>
  <c r="I43" i="12"/>
  <c r="I115" i="14" s="1"/>
  <c r="E43" i="12"/>
  <c r="E115" i="14" s="1"/>
  <c r="K48" i="12"/>
  <c r="K120" i="14" s="1"/>
  <c r="G48" i="12"/>
  <c r="G120" i="14" s="1"/>
  <c r="C48" i="12"/>
  <c r="C120" i="14" s="1"/>
  <c r="N48" i="12"/>
  <c r="N120" i="14" s="1"/>
  <c r="J48" i="12"/>
  <c r="J120" i="14" s="1"/>
  <c r="F48" i="12"/>
  <c r="F120" i="14" s="1"/>
  <c r="M48" i="12"/>
  <c r="M120" i="14" s="1"/>
  <c r="I48" i="12"/>
  <c r="I120" i="14" s="1"/>
  <c r="E48" i="12"/>
  <c r="E120" i="14" s="1"/>
  <c r="L48" i="12"/>
  <c r="L120" i="14" s="1"/>
  <c r="H48" i="12"/>
  <c r="H120" i="14" s="1"/>
  <c r="D48" i="12"/>
  <c r="D120" i="14" s="1"/>
  <c r="N45" i="12"/>
  <c r="N117" i="14" s="1"/>
  <c r="J45" i="12"/>
  <c r="J117" i="14" s="1"/>
  <c r="F45" i="12"/>
  <c r="F117" i="14" s="1"/>
  <c r="M45" i="12"/>
  <c r="M117" i="14" s="1"/>
  <c r="I45" i="12"/>
  <c r="I117" i="14" s="1"/>
  <c r="E45" i="12"/>
  <c r="E117" i="14" s="1"/>
  <c r="L45" i="12"/>
  <c r="L117" i="14" s="1"/>
  <c r="H45" i="12"/>
  <c r="H117" i="14" s="1"/>
  <c r="D45" i="12"/>
  <c r="D117" i="14" s="1"/>
  <c r="K45" i="12"/>
  <c r="K117" i="14" s="1"/>
  <c r="G45" i="12"/>
  <c r="G117" i="14" s="1"/>
  <c r="C45" i="12"/>
  <c r="C117" i="14" s="1"/>
  <c r="L47" i="12"/>
  <c r="L119" i="14" s="1"/>
  <c r="H47" i="12"/>
  <c r="H119" i="14" s="1"/>
  <c r="D47" i="12"/>
  <c r="D119" i="14" s="1"/>
  <c r="K47" i="12"/>
  <c r="K119" i="14" s="1"/>
  <c r="G47" i="12"/>
  <c r="G119" i="14" s="1"/>
  <c r="C47" i="12"/>
  <c r="C119" i="14" s="1"/>
  <c r="N47" i="12"/>
  <c r="N119" i="14" s="1"/>
  <c r="J47" i="12"/>
  <c r="J119" i="14" s="1"/>
  <c r="F47" i="12"/>
  <c r="F119" i="14" s="1"/>
  <c r="M47" i="12"/>
  <c r="M119" i="14" s="1"/>
  <c r="I47" i="12"/>
  <c r="I119" i="14" s="1"/>
  <c r="E47" i="12"/>
  <c r="E119" i="14" s="1"/>
  <c r="O28" i="12"/>
  <c r="O30" i="12"/>
  <c r="C39" i="12"/>
  <c r="C111" i="14" s="1"/>
  <c r="J39" i="12"/>
  <c r="J111" i="14" s="1"/>
  <c r="F39" i="12"/>
  <c r="F111" i="14" s="1"/>
  <c r="M39" i="12"/>
  <c r="M111" i="14" s="1"/>
  <c r="I39" i="12"/>
  <c r="I111" i="14" s="1"/>
  <c r="E39" i="12"/>
  <c r="E111" i="14" s="1"/>
  <c r="L39" i="12"/>
  <c r="L111" i="14" s="1"/>
  <c r="H39" i="12"/>
  <c r="H111" i="14" s="1"/>
  <c r="D39" i="12"/>
  <c r="D111" i="14" s="1"/>
  <c r="K39" i="12"/>
  <c r="K111" i="14" s="1"/>
  <c r="G39" i="12"/>
  <c r="G111" i="14" s="1"/>
  <c r="N39" i="12"/>
  <c r="N111" i="14" s="1"/>
  <c r="O27" i="12"/>
  <c r="O26" i="12"/>
  <c r="O29" i="12"/>
  <c r="O25" i="12"/>
  <c r="AA13" i="15"/>
  <c r="L5" i="15" s="1"/>
  <c r="H5" i="15"/>
  <c r="AA7" i="15"/>
  <c r="AA12" i="15" s="1"/>
  <c r="J5" i="15" s="1"/>
  <c r="O12" i="15"/>
  <c r="B18" i="12"/>
  <c r="B17" i="12"/>
  <c r="D113" i="14"/>
  <c r="I63" i="12"/>
  <c r="I164" i="14" s="1"/>
  <c r="C63" i="12"/>
  <c r="C164" i="14" s="1"/>
  <c r="H63" i="12"/>
  <c r="H164" i="14" s="1"/>
  <c r="F63" i="12"/>
  <c r="F164" i="14" s="1"/>
  <c r="K63" i="12"/>
  <c r="K164" i="14" s="1"/>
  <c r="L63" i="12"/>
  <c r="L164" i="14" s="1"/>
  <c r="J63" i="12"/>
  <c r="J164" i="14" s="1"/>
  <c r="G63" i="12"/>
  <c r="G164" i="14" s="1"/>
  <c r="E63" i="12"/>
  <c r="E164" i="14" s="1"/>
  <c r="N63" i="12"/>
  <c r="N164" i="14" s="1"/>
  <c r="D63" i="12"/>
  <c r="D164" i="14" s="1"/>
  <c r="M63" i="12"/>
  <c r="M164" i="14" s="1"/>
  <c r="B11" i="12"/>
  <c r="B16" i="12"/>
  <c r="B15" i="12"/>
  <c r="B14" i="12"/>
  <c r="B12" i="12"/>
  <c r="B20" i="12"/>
  <c r="B19" i="12"/>
  <c r="B13" i="12"/>
  <c r="B13" i="9"/>
  <c r="N91" i="12" l="1"/>
  <c r="N250" i="14" s="1"/>
  <c r="D91" i="12"/>
  <c r="D250" i="14" s="1"/>
  <c r="I91" i="12"/>
  <c r="I250" i="14" s="1"/>
  <c r="E91" i="12"/>
  <c r="E250" i="14" s="1"/>
  <c r="O84" i="12"/>
  <c r="O243" i="14" s="1"/>
  <c r="K91" i="12"/>
  <c r="K250" i="14" s="1"/>
  <c r="J91" i="12"/>
  <c r="J250" i="14" s="1"/>
  <c r="L91" i="12"/>
  <c r="L250" i="14" s="1"/>
  <c r="G91" i="12"/>
  <c r="G250" i="14" s="1"/>
  <c r="F91" i="12"/>
  <c r="F250" i="14" s="1"/>
  <c r="O83" i="12"/>
  <c r="O242" i="14" s="1"/>
  <c r="H91" i="12"/>
  <c r="H250" i="14" s="1"/>
  <c r="M91" i="12"/>
  <c r="M250" i="14" s="1"/>
  <c r="C91" i="12"/>
  <c r="C250" i="14" s="1"/>
  <c r="O81" i="12"/>
  <c r="O240" i="14" s="1"/>
  <c r="O82" i="12"/>
  <c r="O241" i="14" s="1"/>
  <c r="N73" i="12"/>
  <c r="N203" i="14" s="1"/>
  <c r="J73" i="12"/>
  <c r="J203" i="14" s="1"/>
  <c r="F73" i="12"/>
  <c r="F203" i="14" s="1"/>
  <c r="M73" i="12"/>
  <c r="M203" i="14" s="1"/>
  <c r="I73" i="12"/>
  <c r="I203" i="14" s="1"/>
  <c r="E73" i="12"/>
  <c r="E203" i="14" s="1"/>
  <c r="L73" i="12"/>
  <c r="L203" i="14" s="1"/>
  <c r="H73" i="12"/>
  <c r="H203" i="14" s="1"/>
  <c r="D73" i="12"/>
  <c r="D203" i="14" s="1"/>
  <c r="K73" i="12"/>
  <c r="K203" i="14" s="1"/>
  <c r="G73" i="12"/>
  <c r="G203" i="14" s="1"/>
  <c r="C73" i="12"/>
  <c r="C203" i="14" s="1"/>
  <c r="N75" i="12"/>
  <c r="N205" i="14" s="1"/>
  <c r="J75" i="12"/>
  <c r="J205" i="14" s="1"/>
  <c r="F75" i="12"/>
  <c r="F205" i="14" s="1"/>
  <c r="M75" i="12"/>
  <c r="M205" i="14" s="1"/>
  <c r="I75" i="12"/>
  <c r="I205" i="14" s="1"/>
  <c r="E75" i="12"/>
  <c r="E205" i="14" s="1"/>
  <c r="L75" i="12"/>
  <c r="L205" i="14" s="1"/>
  <c r="H75" i="12"/>
  <c r="H205" i="14" s="1"/>
  <c r="D75" i="12"/>
  <c r="D205" i="14" s="1"/>
  <c r="K75" i="12"/>
  <c r="K205" i="14" s="1"/>
  <c r="G75" i="12"/>
  <c r="G205" i="14" s="1"/>
  <c r="C75" i="12"/>
  <c r="C205" i="14" s="1"/>
  <c r="N70" i="12"/>
  <c r="N200" i="14" s="1"/>
  <c r="J70" i="12"/>
  <c r="J200" i="14" s="1"/>
  <c r="F70" i="12"/>
  <c r="F200" i="14" s="1"/>
  <c r="M70" i="12"/>
  <c r="M200" i="14" s="1"/>
  <c r="I70" i="12"/>
  <c r="I200" i="14" s="1"/>
  <c r="E70" i="12"/>
  <c r="E200" i="14" s="1"/>
  <c r="L70" i="12"/>
  <c r="L200" i="14" s="1"/>
  <c r="H70" i="12"/>
  <c r="H200" i="14" s="1"/>
  <c r="D70" i="12"/>
  <c r="D200" i="14" s="1"/>
  <c r="K70" i="12"/>
  <c r="K200" i="14" s="1"/>
  <c r="G70" i="12"/>
  <c r="G200" i="14" s="1"/>
  <c r="C70" i="12"/>
  <c r="C200" i="14" s="1"/>
  <c r="N68" i="12"/>
  <c r="N198" i="14" s="1"/>
  <c r="J68" i="12"/>
  <c r="J198" i="14" s="1"/>
  <c r="F68" i="12"/>
  <c r="F198" i="14" s="1"/>
  <c r="M68" i="12"/>
  <c r="M198" i="14" s="1"/>
  <c r="I68" i="12"/>
  <c r="I198" i="14" s="1"/>
  <c r="E68" i="12"/>
  <c r="E198" i="14" s="1"/>
  <c r="L68" i="12"/>
  <c r="L198" i="14" s="1"/>
  <c r="H68" i="12"/>
  <c r="H198" i="14" s="1"/>
  <c r="D68" i="12"/>
  <c r="D198" i="14" s="1"/>
  <c r="K68" i="12"/>
  <c r="K198" i="14" s="1"/>
  <c r="G68" i="12"/>
  <c r="G198" i="14" s="1"/>
  <c r="C68" i="12"/>
  <c r="C198" i="14" s="1"/>
  <c r="N74" i="12"/>
  <c r="N204" i="14" s="1"/>
  <c r="J74" i="12"/>
  <c r="J204" i="14" s="1"/>
  <c r="F74" i="12"/>
  <c r="F204" i="14" s="1"/>
  <c r="M74" i="12"/>
  <c r="M204" i="14" s="1"/>
  <c r="I74" i="12"/>
  <c r="I204" i="14" s="1"/>
  <c r="E74" i="12"/>
  <c r="E204" i="14" s="1"/>
  <c r="L74" i="12"/>
  <c r="L204" i="14" s="1"/>
  <c r="H74" i="12"/>
  <c r="H204" i="14" s="1"/>
  <c r="D74" i="12"/>
  <c r="D204" i="14" s="1"/>
  <c r="K74" i="12"/>
  <c r="K204" i="14" s="1"/>
  <c r="G74" i="12"/>
  <c r="G204" i="14" s="1"/>
  <c r="C74" i="12"/>
  <c r="C204" i="14" s="1"/>
  <c r="N72" i="12"/>
  <c r="N202" i="14" s="1"/>
  <c r="J72" i="12"/>
  <c r="J202" i="14" s="1"/>
  <c r="F72" i="12"/>
  <c r="F202" i="14" s="1"/>
  <c r="M72" i="12"/>
  <c r="M202" i="14" s="1"/>
  <c r="I72" i="12"/>
  <c r="I202" i="14" s="1"/>
  <c r="E72" i="12"/>
  <c r="E202" i="14" s="1"/>
  <c r="L72" i="12"/>
  <c r="L202" i="14" s="1"/>
  <c r="H72" i="12"/>
  <c r="H202" i="14" s="1"/>
  <c r="D72" i="12"/>
  <c r="D202" i="14" s="1"/>
  <c r="K72" i="12"/>
  <c r="K202" i="14" s="1"/>
  <c r="G72" i="12"/>
  <c r="G202" i="14" s="1"/>
  <c r="C72" i="12"/>
  <c r="C202" i="14" s="1"/>
  <c r="N69" i="12"/>
  <c r="N199" i="14" s="1"/>
  <c r="J69" i="12"/>
  <c r="J199" i="14" s="1"/>
  <c r="F69" i="12"/>
  <c r="F199" i="14" s="1"/>
  <c r="M69" i="12"/>
  <c r="M199" i="14" s="1"/>
  <c r="I69" i="12"/>
  <c r="I199" i="14" s="1"/>
  <c r="E69" i="12"/>
  <c r="E199" i="14" s="1"/>
  <c r="L69" i="12"/>
  <c r="L199" i="14" s="1"/>
  <c r="H69" i="12"/>
  <c r="H199" i="14" s="1"/>
  <c r="D69" i="12"/>
  <c r="D199" i="14" s="1"/>
  <c r="K69" i="12"/>
  <c r="K199" i="14" s="1"/>
  <c r="G69" i="12"/>
  <c r="G199" i="14" s="1"/>
  <c r="C69" i="12"/>
  <c r="C199" i="14" s="1"/>
  <c r="N71" i="12"/>
  <c r="N201" i="14" s="1"/>
  <c r="J71" i="12"/>
  <c r="J201" i="14" s="1"/>
  <c r="F71" i="12"/>
  <c r="F201" i="14" s="1"/>
  <c r="M71" i="12"/>
  <c r="M201" i="14" s="1"/>
  <c r="I71" i="12"/>
  <c r="I201" i="14" s="1"/>
  <c r="E71" i="12"/>
  <c r="E201" i="14" s="1"/>
  <c r="L71" i="12"/>
  <c r="L201" i="14" s="1"/>
  <c r="H71" i="12"/>
  <c r="H201" i="14" s="1"/>
  <c r="D71" i="12"/>
  <c r="D201" i="14" s="1"/>
  <c r="K71" i="12"/>
  <c r="K201" i="14" s="1"/>
  <c r="G71" i="12"/>
  <c r="G201" i="14" s="1"/>
  <c r="C71" i="12"/>
  <c r="C201" i="14" s="1"/>
  <c r="N76" i="12"/>
  <c r="N206" i="14" s="1"/>
  <c r="J76" i="12"/>
  <c r="J206" i="14" s="1"/>
  <c r="F76" i="12"/>
  <c r="F206" i="14" s="1"/>
  <c r="M76" i="12"/>
  <c r="M206" i="14" s="1"/>
  <c r="I76" i="12"/>
  <c r="I206" i="14" s="1"/>
  <c r="E76" i="12"/>
  <c r="E206" i="14" s="1"/>
  <c r="L76" i="12"/>
  <c r="L206" i="14" s="1"/>
  <c r="H76" i="12"/>
  <c r="H206" i="14" s="1"/>
  <c r="D76" i="12"/>
  <c r="D206" i="14" s="1"/>
  <c r="K76" i="12"/>
  <c r="K206" i="14" s="1"/>
  <c r="G76" i="12"/>
  <c r="G206" i="14" s="1"/>
  <c r="C76" i="12"/>
  <c r="C206" i="14" s="1"/>
  <c r="N67" i="12"/>
  <c r="J67" i="12"/>
  <c r="F67" i="12"/>
  <c r="F197" i="14" s="1"/>
  <c r="M67" i="12"/>
  <c r="I67" i="12"/>
  <c r="E67" i="12"/>
  <c r="L67" i="12"/>
  <c r="H67" i="12"/>
  <c r="D67" i="12"/>
  <c r="K67" i="12"/>
  <c r="G67" i="12"/>
  <c r="C67" i="12"/>
  <c r="O71" i="12"/>
  <c r="O201" i="14" s="1"/>
  <c r="O75" i="12"/>
  <c r="O205" i="14" s="1"/>
  <c r="O73" i="12"/>
  <c r="O203" i="14" s="1"/>
  <c r="O74" i="12"/>
  <c r="O204" i="14" s="1"/>
  <c r="O76" i="12"/>
  <c r="O206" i="14" s="1"/>
  <c r="O72" i="12"/>
  <c r="O202" i="14" s="1"/>
  <c r="O42" i="12"/>
  <c r="O45" i="12"/>
  <c r="O41" i="12"/>
  <c r="O48" i="12"/>
  <c r="O44" i="12"/>
  <c r="O40" i="12"/>
  <c r="O47" i="12"/>
  <c r="O43" i="12"/>
  <c r="O46" i="12"/>
  <c r="O39" i="12"/>
  <c r="B27" i="14"/>
  <c r="N13" i="12"/>
  <c r="N27" i="14" s="1"/>
  <c r="J13" i="12"/>
  <c r="J27" i="14" s="1"/>
  <c r="F13" i="12"/>
  <c r="F27" i="14" s="1"/>
  <c r="M13" i="12"/>
  <c r="M27" i="14" s="1"/>
  <c r="I13" i="12"/>
  <c r="I27" i="14" s="1"/>
  <c r="E13" i="12"/>
  <c r="E27" i="14" s="1"/>
  <c r="L13" i="12"/>
  <c r="L27" i="14" s="1"/>
  <c r="H13" i="12"/>
  <c r="H27" i="14" s="1"/>
  <c r="D13" i="12"/>
  <c r="K13" i="12"/>
  <c r="K27" i="14" s="1"/>
  <c r="G13" i="12"/>
  <c r="G27" i="14" s="1"/>
  <c r="C13" i="12"/>
  <c r="C27" i="14" s="1"/>
  <c r="B33" i="14"/>
  <c r="L19" i="12"/>
  <c r="L33" i="14" s="1"/>
  <c r="H19" i="12"/>
  <c r="H33" i="14" s="1"/>
  <c r="D19" i="12"/>
  <c r="D33" i="14" s="1"/>
  <c r="O19" i="12"/>
  <c r="K19" i="12"/>
  <c r="K33" i="14" s="1"/>
  <c r="G19" i="12"/>
  <c r="G33" i="14" s="1"/>
  <c r="C19" i="12"/>
  <c r="C33" i="14" s="1"/>
  <c r="N19" i="12"/>
  <c r="J19" i="12"/>
  <c r="J33" i="14" s="1"/>
  <c r="F19" i="12"/>
  <c r="F33" i="14" s="1"/>
  <c r="M19" i="12"/>
  <c r="M33" i="14" s="1"/>
  <c r="I19" i="12"/>
  <c r="E19" i="12"/>
  <c r="B26" i="14"/>
  <c r="K12" i="12"/>
  <c r="K26" i="14" s="1"/>
  <c r="G12" i="12"/>
  <c r="C12" i="12"/>
  <c r="C26" i="14" s="1"/>
  <c r="N12" i="12"/>
  <c r="N26" i="14" s="1"/>
  <c r="J12" i="12"/>
  <c r="J26" i="14" s="1"/>
  <c r="F12" i="12"/>
  <c r="F26" i="14" s="1"/>
  <c r="M12" i="12"/>
  <c r="M26" i="14" s="1"/>
  <c r="I12" i="12"/>
  <c r="I26" i="14" s="1"/>
  <c r="E12" i="12"/>
  <c r="E26" i="14" s="1"/>
  <c r="L12" i="12"/>
  <c r="L26" i="14" s="1"/>
  <c r="H12" i="12"/>
  <c r="H26" i="14" s="1"/>
  <c r="D12" i="12"/>
  <c r="D26" i="14" s="1"/>
  <c r="B28" i="14"/>
  <c r="M14" i="12"/>
  <c r="I14" i="12"/>
  <c r="I28" i="14" s="1"/>
  <c r="L14" i="12"/>
  <c r="L28" i="14" s="1"/>
  <c r="H14" i="12"/>
  <c r="H28" i="14" s="1"/>
  <c r="D14" i="12"/>
  <c r="D28" i="14" s="1"/>
  <c r="K14" i="12"/>
  <c r="K28" i="14" s="1"/>
  <c r="G14" i="12"/>
  <c r="G28" i="14" s="1"/>
  <c r="C14" i="12"/>
  <c r="C28" i="14" s="1"/>
  <c r="N14" i="12"/>
  <c r="N28" i="14" s="1"/>
  <c r="J14" i="12"/>
  <c r="J28" i="14" s="1"/>
  <c r="F14" i="12"/>
  <c r="F28" i="14" s="1"/>
  <c r="E14" i="12"/>
  <c r="B29" i="14"/>
  <c r="L15" i="12"/>
  <c r="L29" i="14" s="1"/>
  <c r="H15" i="12"/>
  <c r="H29" i="14" s="1"/>
  <c r="D15" i="12"/>
  <c r="D29" i="14" s="1"/>
  <c r="K15" i="12"/>
  <c r="K29" i="14" s="1"/>
  <c r="G15" i="12"/>
  <c r="G29" i="14" s="1"/>
  <c r="C15" i="12"/>
  <c r="C29" i="14" s="1"/>
  <c r="N15" i="12"/>
  <c r="N29" i="14" s="1"/>
  <c r="J15" i="12"/>
  <c r="J29" i="14" s="1"/>
  <c r="F15" i="12"/>
  <c r="F29" i="14" s="1"/>
  <c r="M15" i="12"/>
  <c r="M29" i="14" s="1"/>
  <c r="I15" i="12"/>
  <c r="I29" i="14" s="1"/>
  <c r="E15" i="12"/>
  <c r="E29" i="14" s="1"/>
  <c r="B34" i="14"/>
  <c r="O20" i="12"/>
  <c r="K20" i="12"/>
  <c r="K34" i="14" s="1"/>
  <c r="G20" i="12"/>
  <c r="G34" i="14" s="1"/>
  <c r="C20" i="12"/>
  <c r="C34" i="14" s="1"/>
  <c r="N20" i="12"/>
  <c r="N34" i="14" s="1"/>
  <c r="J20" i="12"/>
  <c r="J34" i="14" s="1"/>
  <c r="F20" i="12"/>
  <c r="F34" i="14" s="1"/>
  <c r="M20" i="12"/>
  <c r="M34" i="14" s="1"/>
  <c r="I20" i="12"/>
  <c r="I34" i="14" s="1"/>
  <c r="E20" i="12"/>
  <c r="E34" i="14" s="1"/>
  <c r="L20" i="12"/>
  <c r="L34" i="14" s="1"/>
  <c r="H20" i="12"/>
  <c r="H34" i="14" s="1"/>
  <c r="D20" i="12"/>
  <c r="D34" i="14" s="1"/>
  <c r="B30" i="14"/>
  <c r="O16" i="12"/>
  <c r="K16" i="12"/>
  <c r="K30" i="14" s="1"/>
  <c r="G16" i="12"/>
  <c r="G30" i="14" s="1"/>
  <c r="C16" i="12"/>
  <c r="C30" i="14" s="1"/>
  <c r="N16" i="12"/>
  <c r="N30" i="14" s="1"/>
  <c r="J16" i="12"/>
  <c r="J30" i="14" s="1"/>
  <c r="F16" i="12"/>
  <c r="F30" i="14" s="1"/>
  <c r="M16" i="12"/>
  <c r="M30" i="14" s="1"/>
  <c r="I16" i="12"/>
  <c r="I30" i="14" s="1"/>
  <c r="E16" i="12"/>
  <c r="E30" i="14" s="1"/>
  <c r="L16" i="12"/>
  <c r="L30" i="14" s="1"/>
  <c r="H16" i="12"/>
  <c r="H30" i="14" s="1"/>
  <c r="D16" i="12"/>
  <c r="D30" i="14" s="1"/>
  <c r="B31" i="14"/>
  <c r="N17" i="12"/>
  <c r="N31" i="14" s="1"/>
  <c r="J17" i="12"/>
  <c r="J31" i="14" s="1"/>
  <c r="F17" i="12"/>
  <c r="F31" i="14" s="1"/>
  <c r="M17" i="12"/>
  <c r="M31" i="14" s="1"/>
  <c r="I17" i="12"/>
  <c r="I31" i="14" s="1"/>
  <c r="E17" i="12"/>
  <c r="E31" i="14" s="1"/>
  <c r="L17" i="12"/>
  <c r="L31" i="14" s="1"/>
  <c r="H17" i="12"/>
  <c r="H31" i="14" s="1"/>
  <c r="D17" i="12"/>
  <c r="O17" i="12"/>
  <c r="K17" i="12"/>
  <c r="K31" i="14" s="1"/>
  <c r="G17" i="12"/>
  <c r="G31" i="14" s="1"/>
  <c r="C17" i="12"/>
  <c r="C31" i="14" s="1"/>
  <c r="B32" i="14"/>
  <c r="M18" i="12"/>
  <c r="M32" i="14" s="1"/>
  <c r="I18" i="12"/>
  <c r="I32" i="14" s="1"/>
  <c r="E18" i="12"/>
  <c r="E32" i="14" s="1"/>
  <c r="L18" i="12"/>
  <c r="L32" i="14" s="1"/>
  <c r="H18" i="12"/>
  <c r="H32" i="14" s="1"/>
  <c r="D18" i="12"/>
  <c r="D32" i="14" s="1"/>
  <c r="O18" i="12"/>
  <c r="K18" i="12"/>
  <c r="K32" i="14" s="1"/>
  <c r="G18" i="12"/>
  <c r="G32" i="14" s="1"/>
  <c r="C18" i="12"/>
  <c r="C32" i="14" s="1"/>
  <c r="N18" i="12"/>
  <c r="N32" i="14" s="1"/>
  <c r="J18" i="12"/>
  <c r="J32" i="14" s="1"/>
  <c r="F18" i="12"/>
  <c r="F32" i="14" s="1"/>
  <c r="N11" i="12"/>
  <c r="N25" i="14" s="1"/>
  <c r="J11" i="12"/>
  <c r="J25" i="14" s="1"/>
  <c r="F11" i="12"/>
  <c r="F25" i="14" s="1"/>
  <c r="M11" i="12"/>
  <c r="M25" i="14" s="1"/>
  <c r="I11" i="12"/>
  <c r="I25" i="14" s="1"/>
  <c r="E11" i="12"/>
  <c r="E25" i="14" s="1"/>
  <c r="L11" i="12"/>
  <c r="L25" i="14" s="1"/>
  <c r="H11" i="12"/>
  <c r="H25" i="14" s="1"/>
  <c r="D11" i="12"/>
  <c r="D25" i="14" s="1"/>
  <c r="K11" i="12"/>
  <c r="K25" i="14" s="1"/>
  <c r="G11" i="12"/>
  <c r="G25" i="14" s="1"/>
  <c r="B25" i="14"/>
  <c r="C11" i="12"/>
  <c r="C25" i="14" s="1"/>
  <c r="D31" i="14"/>
  <c r="E28" i="14"/>
  <c r="N33" i="14"/>
  <c r="E33" i="14"/>
  <c r="M28" i="14"/>
  <c r="I33" i="14"/>
  <c r="G26" i="14"/>
  <c r="D27" i="14"/>
  <c r="O77" i="14"/>
  <c r="O69" i="14"/>
  <c r="O74" i="14"/>
  <c r="F35" i="12"/>
  <c r="F78" i="14" s="1"/>
  <c r="K35" i="12"/>
  <c r="K78" i="14" s="1"/>
  <c r="L35" i="12"/>
  <c r="L78" i="14" s="1"/>
  <c r="O71" i="14"/>
  <c r="J35" i="12"/>
  <c r="J78" i="14" s="1"/>
  <c r="G35" i="12"/>
  <c r="G78" i="14" s="1"/>
  <c r="E35" i="12"/>
  <c r="E78" i="14" s="1"/>
  <c r="O75" i="14"/>
  <c r="O73" i="14"/>
  <c r="O72" i="14"/>
  <c r="N35" i="12"/>
  <c r="N78" i="14" s="1"/>
  <c r="D35" i="12"/>
  <c r="D78" i="14" s="1"/>
  <c r="M35" i="12"/>
  <c r="M78" i="14" s="1"/>
  <c r="O76" i="14"/>
  <c r="O70" i="14"/>
  <c r="I35" i="12"/>
  <c r="I78" i="14" s="1"/>
  <c r="O68" i="14"/>
  <c r="C35" i="12"/>
  <c r="C78" i="14" s="1"/>
  <c r="H35" i="12"/>
  <c r="H78" i="14" s="1"/>
  <c r="B14" i="9"/>
  <c r="C77" i="12" l="1"/>
  <c r="C207" i="14" s="1"/>
  <c r="C197" i="14"/>
  <c r="H77" i="12"/>
  <c r="H207" i="14" s="1"/>
  <c r="H197" i="14"/>
  <c r="M77" i="12"/>
  <c r="M207" i="14" s="1"/>
  <c r="M197" i="14"/>
  <c r="G77" i="12"/>
  <c r="G207" i="14" s="1"/>
  <c r="G197" i="14"/>
  <c r="L77" i="12"/>
  <c r="L207" i="14" s="1"/>
  <c r="L197" i="14"/>
  <c r="K77" i="12"/>
  <c r="K207" i="14" s="1"/>
  <c r="K197" i="14"/>
  <c r="E77" i="12"/>
  <c r="E207" i="14" s="1"/>
  <c r="E197" i="14"/>
  <c r="J77" i="12"/>
  <c r="J207" i="14" s="1"/>
  <c r="J197" i="14"/>
  <c r="D77" i="12"/>
  <c r="D207" i="14" s="1"/>
  <c r="D197" i="14"/>
  <c r="I77" i="12"/>
  <c r="I207" i="14" s="1"/>
  <c r="I197" i="14"/>
  <c r="N77" i="12"/>
  <c r="N207" i="14" s="1"/>
  <c r="N197" i="14"/>
  <c r="F77" i="12"/>
  <c r="F207" i="14" s="1"/>
  <c r="O70" i="12"/>
  <c r="O200" i="14" s="1"/>
  <c r="O69" i="12"/>
  <c r="O199" i="14" s="1"/>
  <c r="O68" i="12"/>
  <c r="O198" i="14" s="1"/>
  <c r="O67" i="12"/>
  <c r="O197" i="14" s="1"/>
  <c r="O13" i="12"/>
  <c r="O27" i="14" s="1"/>
  <c r="O15" i="12"/>
  <c r="O29" i="14" s="1"/>
  <c r="O12" i="12"/>
  <c r="O26" i="14" s="1"/>
  <c r="O14" i="12"/>
  <c r="O28" i="14" s="1"/>
  <c r="O11" i="12"/>
  <c r="O25" i="14" s="1"/>
  <c r="O31" i="14"/>
  <c r="O32" i="14"/>
  <c r="I21" i="12"/>
  <c r="I35" i="14" s="1"/>
  <c r="O33" i="14"/>
  <c r="E21" i="12"/>
  <c r="E35" i="14" s="1"/>
  <c r="K21" i="12"/>
  <c r="K35" i="14" s="1"/>
  <c r="H21" i="12"/>
  <c r="H35" i="14" s="1"/>
  <c r="O34" i="14"/>
  <c r="C21" i="12"/>
  <c r="C35" i="14" s="1"/>
  <c r="N21" i="12"/>
  <c r="N35" i="14" s="1"/>
  <c r="L21" i="12"/>
  <c r="L35" i="14" s="1"/>
  <c r="O30" i="14"/>
  <c r="F21" i="12"/>
  <c r="F35" i="14" s="1"/>
  <c r="J21" i="12"/>
  <c r="J35" i="14" s="1"/>
  <c r="O116" i="14"/>
  <c r="O118" i="14"/>
  <c r="O114" i="14"/>
  <c r="H49" i="12"/>
  <c r="H121" i="14" s="1"/>
  <c r="N49" i="12"/>
  <c r="N121" i="14" s="1"/>
  <c r="G49" i="12"/>
  <c r="G121" i="14" s="1"/>
  <c r="O120" i="14"/>
  <c r="O112" i="14"/>
  <c r="I49" i="12"/>
  <c r="I121" i="14" s="1"/>
  <c r="E49" i="12"/>
  <c r="E121" i="14" s="1"/>
  <c r="K49" i="12"/>
  <c r="K121" i="14" s="1"/>
  <c r="O117" i="14"/>
  <c r="O119" i="14"/>
  <c r="F49" i="12"/>
  <c r="F121" i="14" s="1"/>
  <c r="M49" i="12"/>
  <c r="M121" i="14" s="1"/>
  <c r="D49" i="12"/>
  <c r="D121" i="14" s="1"/>
  <c r="O115" i="14"/>
  <c r="O113" i="14"/>
  <c r="J49" i="12"/>
  <c r="J121" i="14" s="1"/>
  <c r="O111" i="14"/>
  <c r="C49" i="12"/>
  <c r="C121" i="14" s="1"/>
  <c r="L49" i="12"/>
  <c r="L121" i="14" s="1"/>
  <c r="M21" i="12"/>
  <c r="M35" i="14" s="1"/>
  <c r="G21" i="12"/>
  <c r="G35" i="14" s="1"/>
  <c r="D21" i="12"/>
  <c r="D35" i="14" s="1"/>
  <c r="B15" i="9"/>
  <c r="B16" i="9" l="1"/>
  <c r="B17" i="9" l="1"/>
  <c r="B18" i="9" l="1"/>
  <c r="B19" i="9" s="1"/>
  <c r="B20" i="9" s="1"/>
  <c r="B21" i="9" s="1"/>
  <c r="B22" i="9" l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</calcChain>
</file>

<file path=xl/comments1.xml><?xml version="1.0" encoding="utf-8"?>
<comments xmlns="http://schemas.openxmlformats.org/spreadsheetml/2006/main">
  <authors>
    <author>Flavio Dias de Souza</author>
  </authors>
  <commentList>
    <comment ref="D10" authorId="0">
      <text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É a soma de todas as horas em que o equipamento ficou indisponível no mês.</t>
        </r>
      </text>
    </comment>
    <comment ref="E10" authorId="0">
      <text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É a soma de todas as horas não computáveis para a resolução de cada falha no mês.</t>
        </r>
      </text>
    </comment>
    <comment ref="F10" authorId="0">
      <text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É a soma de todas as horas computáveis, ou seja, que ultrapassaram a meta de tempo de reparo no mês.</t>
        </r>
      </text>
    </comment>
    <comment ref="G10" authorId="0">
      <text>
        <r>
          <rPr>
            <b/>
            <sz val="10"/>
            <color indexed="81"/>
            <rFont val="Tahoma"/>
            <family val="2"/>
          </rPr>
          <t xml:space="preserve">
MTBF </t>
        </r>
        <r>
          <rPr>
            <sz val="10"/>
            <color indexed="81"/>
            <rFont val="Tahoma"/>
            <family val="2"/>
          </rPr>
          <t>– Mean Time Between Failures. O tempo médio entre falhas (MTBF) refere-se à quantidade média de tempo que um dispositivo ou produto funciona antes de falhar.</t>
        </r>
      </text>
    </comment>
    <comment ref="H10" authorId="0">
      <text>
        <r>
          <rPr>
            <b/>
            <sz val="10"/>
            <color indexed="81"/>
            <rFont val="Tahoma"/>
            <family val="2"/>
          </rPr>
          <t xml:space="preserve">
MTTR  – </t>
        </r>
        <r>
          <rPr>
            <sz val="10"/>
            <color indexed="81"/>
            <rFont val="Tahoma"/>
            <family val="2"/>
          </rPr>
          <t xml:space="preserve">Mean Time to Repair. O tempo médio de reparo (MTTR) é uma medida da capacidade de manutenção de um item reparável, que informa o tempo médio necessário para reparar um item ou componente específico e retorná-lo ao status normal de trabalho. </t>
        </r>
      </text>
    </comment>
    <comment ref="I10" authorId="0">
      <text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Esse indicador representa em percentual quanto do tempo total disponível o equipamento ficou funcionando.</t>
        </r>
      </text>
    </comment>
  </commentList>
</comments>
</file>

<file path=xl/sharedStrings.xml><?xml version="1.0" encoding="utf-8"?>
<sst xmlns="http://schemas.openxmlformats.org/spreadsheetml/2006/main" count="292" uniqueCount="120">
  <si>
    <t>PLANILHA DE</t>
  </si>
  <si>
    <t>1. Posso adicionar mais linhas e colunas na planilha?</t>
  </si>
  <si>
    <t>5. Como desbloquear a planilha?</t>
  </si>
  <si>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</si>
  <si>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Basta entrar no menu superior "Revisão" e escolher o item desproteger planilha no grupo Alterações. As planilhas não possuem senhas, apenas estão bloqueadas para melhorar a usabilidade delas.</t>
  </si>
  <si>
    <t>2. Posso remover linhas?</t>
  </si>
  <si>
    <t>6. Como redimensiono uma coluna ou linha da planilha?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</si>
  <si>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</si>
  <si>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3. Para que servem os alertas?</t>
  </si>
  <si>
    <t>7. Como faço para imprimir uma planilha?</t>
  </si>
  <si>
    <t>Eles são avisos sobre como a sua projeção está. A partir deles, você pode refinar suas projeções e pensar em medidas mais agressivas para tornar seu projeto mais agressivo.</t>
  </si>
  <si>
    <t>Escolha Opção Arquivo e vá ao item imprimir no seu menu superior.</t>
  </si>
  <si>
    <t>4. Essa planilha pode ser apresentada para instituições financeiras?</t>
  </si>
  <si>
    <t>8. Como mudo a moeda da planilha?</t>
  </si>
  <si>
    <t>Sim. Porém esses dados não garantem aprovações ou reprovações por parte dessas instituições. Sendo usados como dados complementares.</t>
  </si>
  <si>
    <t>Selecione os campos que deseja mudar a moeda. Clique com o botão direito escolha a opção formatar células. Altere o símbolo para o formato que desejar na guia Número.</t>
  </si>
  <si>
    <t>CONTROLE DE FALHAS DE EQUIPAMENTOS</t>
  </si>
  <si>
    <t>Id</t>
  </si>
  <si>
    <t>Câmera</t>
  </si>
  <si>
    <t>DVR</t>
  </si>
  <si>
    <t>Servidor</t>
  </si>
  <si>
    <t>Câmera offline</t>
  </si>
  <si>
    <t>Alarme offline</t>
  </si>
  <si>
    <t>Sensores Inoperantes</t>
  </si>
  <si>
    <t>Falha</t>
  </si>
  <si>
    <t>Categoria</t>
  </si>
  <si>
    <t>Equipamento</t>
  </si>
  <si>
    <t>Disponibilidade</t>
  </si>
  <si>
    <t>LANÇAMENTOS</t>
  </si>
  <si>
    <t>Momento da falha</t>
  </si>
  <si>
    <t>Momento do retorno</t>
  </si>
  <si>
    <t>Tempo indisponível</t>
  </si>
  <si>
    <t>Meta tempo reparo</t>
  </si>
  <si>
    <t>Tempo devido</t>
  </si>
  <si>
    <t>Observação</t>
  </si>
  <si>
    <t>DVR offline</t>
  </si>
  <si>
    <t>Servidor offline</t>
  </si>
  <si>
    <t>RESULTADOS</t>
  </si>
  <si>
    <t xml:space="preserve">Informe o ano: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</si>
  <si>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</si>
  <si>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</si>
  <si>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</si>
  <si>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</si>
  <si>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</si>
  <si>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</si>
  <si>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</si>
  <si>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</si>
  <si>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</si>
  <si>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</si>
  <si>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</si>
  <si>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</si>
  <si>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</si>
  <si>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contagem falhas</t>
  </si>
  <si>
    <t>horas paradas</t>
  </si>
  <si>
    <t>desempate</t>
  </si>
  <si>
    <t>Total mensal de indisponibilidade em horas por categoria</t>
  </si>
  <si>
    <t>Falhas</t>
  </si>
  <si>
    <t>Top 10 falhas mais frequentes</t>
  </si>
  <si>
    <t>Top 10 equipamentos com mais falhas</t>
  </si>
  <si>
    <t>Top 10 equipamentos com mais horas de indisponibilidade</t>
  </si>
  <si>
    <t xml:space="preserve">Selecione o mês: </t>
  </si>
  <si>
    <t>Mês</t>
  </si>
  <si>
    <t>índice</t>
  </si>
  <si>
    <t>data inicial</t>
  </si>
  <si>
    <t>data final</t>
  </si>
  <si>
    <t>hora inicial</t>
  </si>
  <si>
    <t>hora final</t>
  </si>
  <si>
    <t xml:space="preserve">Ano: </t>
  </si>
  <si>
    <t>Tempo total indisponível</t>
  </si>
  <si>
    <t>Total meta tempo reparo</t>
  </si>
  <si>
    <t>Tempo total devido</t>
  </si>
  <si>
    <t>MTBF</t>
  </si>
  <si>
    <t>MTTR</t>
  </si>
  <si>
    <t>Resultados consolidados da disponibilidade dos equipamentos</t>
  </si>
  <si>
    <t>RELATÓRIO</t>
  </si>
  <si>
    <t>Tempo médio entre falhas</t>
  </si>
  <si>
    <t>Tempo médio de reparo</t>
  </si>
  <si>
    <t>Total de Equipamentos</t>
  </si>
  <si>
    <t>Equipamentos Operantes</t>
  </si>
  <si>
    <t>Equipamentos com Falha</t>
  </si>
  <si>
    <t>Tempo total indisponível acumulado no ano</t>
  </si>
  <si>
    <t>Tempo médio entre falhas acumulado no ano</t>
  </si>
  <si>
    <t>Tempo médio de reparo acumulado no ano</t>
  </si>
  <si>
    <t>com falha = 1, sem falha = 0</t>
  </si>
  <si>
    <t>Total mensal de falhas</t>
  </si>
  <si>
    <t>CADASTRO</t>
  </si>
  <si>
    <t>DASHBOARD</t>
  </si>
  <si>
    <t>Aqui você deverá cadastrar as categorias em que os equipamentos se enquadram, os tipos de falhas mais frequentes, os equipamentos e as metas de disponibilidade dos equipamentos e tempo de reparo.</t>
  </si>
  <si>
    <t>Aqui você deverá registrar as ocorrências de falhas com os equipamentos informando o nome do equipamento, o tipo de falha e o momento da falha. Após o reparo do equipamento você deverá registrar o momento do retorno.</t>
  </si>
  <si>
    <t>Aqui você você enconmtra um relatório pronto para impressão, formatado em folha A4, com todos os resultados e gráficos do seu controle de falhas de equipamentos.</t>
  </si>
  <si>
    <t>Aqui você encontra um painel com os principais resultados do seu controle de falhas de equipamentos em formato de ráficos.</t>
  </si>
  <si>
    <t>Aqui você encontra os principais resultados do seu controle de falhas de equipamentos em formato de tabelas e gráficos, atém do resultado da disponibilidade dos equipamentos em cada mês contendo Tempo total indisponível, Total meta tempo reparo, Tempo total devido, Tempo médio entre falhas, Tempo médio de reparo e Disponibilidade do equipamento em percentual.
.</t>
  </si>
  <si>
    <t>Setor</t>
  </si>
  <si>
    <t>Administrativo</t>
  </si>
  <si>
    <t>Manutenção</t>
  </si>
  <si>
    <t>Suprimentos</t>
  </si>
  <si>
    <t>Operação</t>
  </si>
  <si>
    <t>Sensor</t>
  </si>
  <si>
    <t>Central de alarme</t>
  </si>
  <si>
    <t>Meta de disponibilidade</t>
  </si>
  <si>
    <t>Meta de tempo de reparo</t>
  </si>
  <si>
    <t>Equipamento + Setor</t>
  </si>
  <si>
    <t>Câmera 1</t>
  </si>
  <si>
    <t>Sensor 1</t>
  </si>
  <si>
    <t>Central de alarme 1</t>
  </si>
  <si>
    <t>Servidor 1</t>
  </si>
  <si>
    <t>DVR 1</t>
  </si>
  <si>
    <t>Administrativo - Câmera 1</t>
  </si>
  <si>
    <t>Status</t>
  </si>
  <si>
    <t>Central de alarme inoperante</t>
  </si>
  <si>
    <t>Top 10 setores com mais horas de indisponibilidade</t>
  </si>
  <si>
    <t>Top 10 setores com mais falhas</t>
  </si>
  <si>
    <t>Veja mais</t>
  </si>
  <si>
    <t>SOBRE A SOUZA</t>
  </si>
  <si>
    <t>Controle de Consumo de Água</t>
  </si>
  <si>
    <t>Controle de Armários</t>
  </si>
  <si>
    <t>Controle de Consumo de Combustível</t>
  </si>
  <si>
    <t>Controle de Frota de Veículos</t>
  </si>
  <si>
    <t>Controle De Transporte De Passageiros</t>
  </si>
  <si>
    <t>CONTROLE DE FALHAS DE EQUIPAMENTOS
VERSÃO DEMONSTRATIVA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</si>
</sst>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h]:mm:ss;@"/>
    <numFmt numFmtId="165" formatCode="0.00000000"/>
    <numFmt numFmtId="166" formatCode="[$-F400]h:mm:ss\ AM/PM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color theme="1" tint="0.34998626667073579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24"/>
      <color theme="1"/>
      <name val="Calibri"/>
      <family val="2"/>
    </font>
    <font>
      <b/>
      <sz val="72"/>
      <color theme="1"/>
      <name val="Calibri"/>
      <family val="2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sz val="18"/>
      <color rgb="FF333333"/>
      <name val="Calibri"/>
      <family val="2"/>
      <scheme val="minor"/>
    </font>
    <font>
      <b/>
      <sz val="18"/>
      <name val="Calibri"/>
      <family val="2"/>
      <scheme val="minor"/>
    </font>
    <font>
      <sz val="10.5"/>
      <color rgb="FF59595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 tint="0.34998626667073579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41">
    <xf numFmtId="0" fontId="0" fillId="0" borderId="0" xfId="0"/>
    <xf numFmtId="0" fontId="9" fillId="0" borderId="0" xfId="2" applyFont="1" applyFill="1" applyBorder="1" applyAlignment="1" applyProtection="1">
      <protection hidden="1"/>
    </xf>
    <xf numFmtId="0" fontId="16" fillId="7" borderId="0" xfId="0" applyFont="1" applyFill="1" applyAlignment="1" applyProtection="1">
      <alignment horizontal="left" vertical="center" indent="1"/>
      <protection hidden="1"/>
    </xf>
    <xf numFmtId="0" fontId="4" fillId="9" borderId="0" xfId="1" applyFill="1" applyProtection="1">
      <protection hidden="1"/>
    </xf>
    <xf numFmtId="0" fontId="4" fillId="2" borderId="0" xfId="1" applyFill="1" applyProtection="1">
      <protection hidden="1"/>
    </xf>
    <xf numFmtId="0" fontId="4" fillId="4" borderId="0" xfId="1" applyFill="1" applyProtection="1"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29" fillId="6" borderId="4" xfId="0" applyNumberFormat="1" applyFont="1" applyFill="1" applyBorder="1" applyAlignment="1" applyProtection="1">
      <alignment horizontal="center" vertical="center"/>
      <protection hidden="1"/>
    </xf>
    <xf numFmtId="164" fontId="29" fillId="6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164" fontId="3" fillId="0" borderId="0" xfId="0" applyNumberFormat="1" applyFont="1" applyProtection="1">
      <protection hidden="1"/>
    </xf>
    <xf numFmtId="21" fontId="3" fillId="0" borderId="0" xfId="0" applyNumberFormat="1" applyFont="1" applyProtection="1">
      <protection hidden="1"/>
    </xf>
    <xf numFmtId="22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3" fillId="0" borderId="0" xfId="0" applyNumberFormat="1" applyFont="1" applyProtection="1"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2" fillId="9" borderId="0" xfId="1" applyFont="1" applyFill="1" applyProtection="1">
      <protection hidden="1"/>
    </xf>
    <xf numFmtId="0" fontId="12" fillId="2" borderId="0" xfId="1" applyFont="1" applyFill="1" applyProtection="1">
      <protection hidden="1"/>
    </xf>
    <xf numFmtId="0" fontId="12" fillId="4" borderId="0" xfId="1" applyFont="1" applyFill="1" applyProtection="1">
      <protection hidden="1"/>
    </xf>
    <xf numFmtId="0" fontId="10" fillId="0" borderId="0" xfId="0" applyFont="1" applyProtection="1">
      <protection hidden="1"/>
    </xf>
    <xf numFmtId="0" fontId="10" fillId="0" borderId="0" xfId="2" applyFont="1" applyFill="1" applyBorder="1" applyAlignment="1" applyProtection="1">
      <alignment horizontal="left" vertical="center"/>
      <protection hidden="1"/>
    </xf>
    <xf numFmtId="0" fontId="3" fillId="0" borderId="0" xfId="2" applyFont="1" applyFill="1" applyBorder="1" applyAlignment="1" applyProtection="1">
      <alignment horizontal="center" vertical="center"/>
      <protection hidden="1"/>
    </xf>
    <xf numFmtId="0" fontId="41" fillId="7" borderId="0" xfId="0" applyFont="1" applyFill="1" applyAlignment="1" applyProtection="1">
      <alignment horizontal="left" vertical="center"/>
      <protection hidden="1"/>
    </xf>
    <xf numFmtId="0" fontId="0" fillId="7" borderId="0" xfId="0" applyNumberFormat="1" applyFill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6" fillId="8" borderId="0" xfId="0" applyFont="1" applyFill="1" applyAlignment="1" applyProtection="1">
      <alignment vertical="center" wrapText="1"/>
      <protection hidden="1"/>
    </xf>
    <xf numFmtId="0" fontId="2" fillId="8" borderId="0" xfId="0" applyFont="1" applyFill="1" applyAlignment="1" applyProtection="1">
      <alignment vertical="center" wrapText="1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protection hidden="1"/>
    </xf>
    <xf numFmtId="0" fontId="13" fillId="2" borderId="1" xfId="0" applyFont="1" applyFill="1" applyBorder="1" applyAlignment="1" applyProtection="1">
      <alignment horizontal="left" vertical="center" wrapText="1" indent="1"/>
      <protection hidden="1"/>
    </xf>
    <xf numFmtId="0" fontId="30" fillId="3" borderId="2" xfId="0" applyFont="1" applyFill="1" applyBorder="1" applyAlignment="1" applyProtection="1">
      <alignment vertical="center" wrapText="1"/>
      <protection hidden="1"/>
    </xf>
    <xf numFmtId="0" fontId="30" fillId="3" borderId="3" xfId="0" applyFont="1" applyFill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0" fillId="0" borderId="0" xfId="3" applyFont="1" applyProtection="1">
      <protection hidden="1"/>
    </xf>
    <xf numFmtId="0" fontId="11" fillId="0" borderId="0" xfId="3" applyFont="1" applyAlignment="1" applyProtection="1">
      <alignment vertical="center"/>
      <protection hidden="1"/>
    </xf>
    <xf numFmtId="0" fontId="10" fillId="0" borderId="0" xfId="3" applyFont="1" applyAlignment="1" applyProtection="1">
      <alignment vertical="center"/>
      <protection hidden="1"/>
    </xf>
    <xf numFmtId="0" fontId="12" fillId="0" borderId="1" xfId="3" applyFont="1" applyBorder="1" applyAlignment="1" applyProtection="1">
      <alignment vertical="center" wrapText="1"/>
      <protection hidden="1"/>
    </xf>
    <xf numFmtId="0" fontId="12" fillId="0" borderId="0" xfId="3" applyFont="1" applyBorder="1" applyAlignment="1" applyProtection="1">
      <alignment vertical="center" wrapText="1"/>
      <protection hidden="1"/>
    </xf>
    <xf numFmtId="0" fontId="10" fillId="0" borderId="1" xfId="3" applyFont="1" applyBorder="1" applyAlignment="1" applyProtection="1">
      <alignment vertical="center" wrapText="1"/>
      <protection hidden="1"/>
    </xf>
    <xf numFmtId="0" fontId="10" fillId="0" borderId="0" xfId="3" applyFont="1" applyBorder="1" applyAlignment="1" applyProtection="1">
      <alignment vertical="center" wrapText="1"/>
      <protection hidden="1"/>
    </xf>
    <xf numFmtId="0" fontId="10" fillId="0" borderId="0" xfId="3" applyFont="1" applyAlignment="1" applyProtection="1">
      <protection hidden="1"/>
    </xf>
    <xf numFmtId="0" fontId="3" fillId="0" borderId="0" xfId="3" applyFont="1" applyProtection="1">
      <protection hidden="1"/>
    </xf>
    <xf numFmtId="0" fontId="31" fillId="0" borderId="0" xfId="3" applyFont="1" applyFill="1" applyAlignment="1" applyProtection="1">
      <protection hidden="1"/>
    </xf>
    <xf numFmtId="0" fontId="32" fillId="0" borderId="0" xfId="3" applyFont="1" applyFill="1" applyProtection="1">
      <protection hidden="1"/>
    </xf>
    <xf numFmtId="0" fontId="1" fillId="0" borderId="0" xfId="3" applyFill="1" applyProtection="1">
      <protection hidden="1"/>
    </xf>
    <xf numFmtId="0" fontId="33" fillId="0" borderId="0" xfId="3" applyFont="1" applyFill="1" applyAlignment="1" applyProtection="1">
      <alignment vertical="center"/>
      <protection hidden="1"/>
    </xf>
    <xf numFmtId="0" fontId="1" fillId="3" borderId="0" xfId="3" applyFill="1" applyProtection="1">
      <protection hidden="1"/>
    </xf>
    <xf numFmtId="0" fontId="7" fillId="10" borderId="0" xfId="3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indent="2"/>
      <protection hidden="1"/>
    </xf>
    <xf numFmtId="0" fontId="35" fillId="10" borderId="0" xfId="5" applyFont="1" applyFill="1" applyAlignment="1" applyProtection="1">
      <alignment horizontal="center" vertical="center"/>
      <protection hidden="1"/>
    </xf>
    <xf numFmtId="0" fontId="36" fillId="0" borderId="0" xfId="3" applyFont="1" applyAlignment="1" applyProtection="1">
      <alignment vertical="center"/>
      <protection hidden="1"/>
    </xf>
    <xf numFmtId="0" fontId="37" fillId="0" borderId="0" xfId="3" applyFont="1" applyAlignment="1" applyProtection="1">
      <alignment horizontal="center" vertical="center"/>
      <protection hidden="1"/>
    </xf>
    <xf numFmtId="0" fontId="38" fillId="0" borderId="0" xfId="3" applyFont="1" applyAlignment="1" applyProtection="1">
      <alignment vertical="center"/>
      <protection hidden="1"/>
    </xf>
    <xf numFmtId="0" fontId="1" fillId="0" borderId="0" xfId="3" applyProtection="1">
      <protection hidden="1"/>
    </xf>
    <xf numFmtId="0" fontId="11" fillId="0" borderId="0" xfId="3" applyFont="1" applyProtection="1">
      <protection hidden="1"/>
    </xf>
    <xf numFmtId="0" fontId="0" fillId="0" borderId="0" xfId="0" applyFill="1" applyProtection="1">
      <protection hidden="1"/>
    </xf>
    <xf numFmtId="0" fontId="33" fillId="0" borderId="0" xfId="3" applyFont="1" applyAlignment="1" applyProtection="1">
      <alignment vertical="center"/>
      <protection hidden="1"/>
    </xf>
    <xf numFmtId="0" fontId="33" fillId="0" borderId="0" xfId="3" applyFont="1" applyAlignment="1" applyProtection="1">
      <alignment vertical="center" wrapText="1"/>
      <protection hidden="1"/>
    </xf>
    <xf numFmtId="0" fontId="39" fillId="0" borderId="0" xfId="3" applyFont="1" applyAlignment="1" applyProtection="1">
      <alignment horizontal="left" vertical="center"/>
      <protection hidden="1"/>
    </xf>
    <xf numFmtId="0" fontId="39" fillId="0" borderId="0" xfId="3" applyFont="1" applyAlignment="1" applyProtection="1">
      <alignment vertical="center"/>
      <protection hidden="1"/>
    </xf>
    <xf numFmtId="0" fontId="40" fillId="0" borderId="0" xfId="3" applyFont="1" applyProtection="1">
      <protection hidden="1"/>
    </xf>
    <xf numFmtId="0" fontId="31" fillId="0" borderId="0" xfId="3" applyFont="1" applyFill="1" applyProtection="1">
      <protection hidden="1"/>
    </xf>
    <xf numFmtId="0" fontId="17" fillId="0" borderId="0" xfId="0" applyFont="1" applyProtection="1">
      <protection hidden="1"/>
    </xf>
    <xf numFmtId="0" fontId="15" fillId="2" borderId="4" xfId="0" applyFont="1" applyFill="1" applyBorder="1" applyAlignment="1" applyProtection="1">
      <alignment horizontal="left" vertical="center" indent="1"/>
      <protection hidden="1"/>
    </xf>
    <xf numFmtId="0" fontId="0" fillId="0" borderId="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5" xfId="0" applyFill="1" applyBorder="1" applyProtection="1">
      <protection hidden="1"/>
    </xf>
    <xf numFmtId="0" fontId="16" fillId="6" borderId="4" xfId="0" applyFont="1" applyFill="1" applyBorder="1" applyAlignment="1" applyProtection="1">
      <alignment horizontal="left" vertical="center" indent="1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10" fontId="0" fillId="0" borderId="4" xfId="4" applyNumberFormat="1" applyFont="1" applyBorder="1" applyAlignment="1" applyProtection="1">
      <alignment horizontal="left" vertical="center"/>
      <protection hidden="1"/>
    </xf>
    <xf numFmtId="166" fontId="0" fillId="0" borderId="4" xfId="0" applyNumberFormat="1" applyBorder="1" applyAlignment="1" applyProtection="1">
      <alignment horizontal="left" vertical="center"/>
      <protection hidden="1"/>
    </xf>
    <xf numFmtId="1" fontId="0" fillId="0" borderId="6" xfId="0" applyNumberFormat="1" applyBorder="1" applyProtection="1">
      <protection hidden="1"/>
    </xf>
    <xf numFmtId="164" fontId="0" fillId="0" borderId="6" xfId="0" applyNumberFormat="1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4" xfId="0" applyBorder="1" applyAlignment="1" applyProtection="1">
      <alignment horizontal="left" vertical="center"/>
      <protection locked="0"/>
    </xf>
    <xf numFmtId="10" fontId="0" fillId="0" borderId="4" xfId="4" applyNumberFormat="1" applyFon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left" vertical="center"/>
      <protection locked="0"/>
    </xf>
    <xf numFmtId="164" fontId="0" fillId="0" borderId="5" xfId="0" applyNumberFormat="1" applyBorder="1" applyProtection="1">
      <protection hidden="1"/>
    </xf>
    <xf numFmtId="0" fontId="10" fillId="0" borderId="6" xfId="0" applyFont="1" applyFill="1" applyBorder="1" applyAlignment="1" applyProtection="1">
      <alignment horizontal="left" vertical="center"/>
      <protection hidden="1"/>
    </xf>
    <xf numFmtId="0" fontId="10" fillId="0" borderId="5" xfId="0" applyFont="1" applyFill="1" applyBorder="1" applyAlignment="1" applyProtection="1">
      <alignment horizontal="left" vertical="center"/>
      <protection hidden="1"/>
    </xf>
    <xf numFmtId="0" fontId="0" fillId="0" borderId="5" xfId="0" applyFont="1" applyFill="1" applyBorder="1" applyAlignment="1" applyProtection="1">
      <protection hidden="1"/>
    </xf>
    <xf numFmtId="0" fontId="16" fillId="5" borderId="4" xfId="0" applyFont="1" applyFill="1" applyBorder="1" applyAlignment="1" applyProtection="1">
      <alignment horizontal="left" vertical="center" indent="1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9" fontId="10" fillId="0" borderId="5" xfId="4" applyFont="1" applyFill="1" applyBorder="1" applyAlignment="1" applyProtection="1">
      <alignment horizontal="left" vertical="center"/>
      <protection hidden="1"/>
    </xf>
    <xf numFmtId="166" fontId="10" fillId="0" borderId="5" xfId="0" applyNumberFormat="1" applyFont="1" applyFill="1" applyBorder="1" applyAlignment="1" applyProtection="1">
      <alignment horizontal="left" vertical="center"/>
      <protection hidden="1"/>
    </xf>
    <xf numFmtId="165" fontId="0" fillId="0" borderId="6" xfId="0" applyNumberFormat="1" applyBorder="1" applyProtection="1">
      <protection hidden="1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wrapText="1" indent="1"/>
      <protection hidden="1"/>
    </xf>
    <xf numFmtId="0" fontId="0" fillId="0" borderId="0" xfId="0" applyAlignment="1" applyProtection="1">
      <alignment horizontal="left" vertical="center"/>
      <protection hidden="1"/>
    </xf>
    <xf numFmtId="22" fontId="0" fillId="0" borderId="0" xfId="0" applyNumberFormat="1" applyAlignment="1" applyProtection="1">
      <alignment horizontal="left" vertical="center"/>
      <protection hidden="1"/>
    </xf>
    <xf numFmtId="164" fontId="0" fillId="7" borderId="0" xfId="0" applyNumberFormat="1" applyFill="1" applyAlignment="1" applyProtection="1">
      <alignment horizontal="left" vertical="center"/>
      <protection hidden="1"/>
    </xf>
    <xf numFmtId="164" fontId="0" fillId="0" borderId="0" xfId="0" applyNumberFormat="1" applyAlignment="1" applyProtection="1">
      <alignment horizontal="left" vertical="center"/>
      <protection hidden="1"/>
    </xf>
    <xf numFmtId="164" fontId="0" fillId="0" borderId="0" xfId="0" applyNumberForma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22" fontId="0" fillId="0" borderId="0" xfId="0" applyNumberForma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right" vertical="center"/>
      <protection hidden="1"/>
    </xf>
    <xf numFmtId="0" fontId="22" fillId="0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Protection="1">
      <protection hidden="1"/>
    </xf>
    <xf numFmtId="14" fontId="0" fillId="0" borderId="0" xfId="0" applyNumberFormat="1" applyProtection="1">
      <protection hidden="1"/>
    </xf>
    <xf numFmtId="0" fontId="15" fillId="2" borderId="4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 vertical="center" inden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" fontId="0" fillId="0" borderId="4" xfId="0" applyNumberFormat="1" applyBorder="1" applyAlignment="1" applyProtection="1">
      <alignment horizontal="center" vertical="center"/>
      <protection hidden="1"/>
    </xf>
    <xf numFmtId="1" fontId="2" fillId="0" borderId="4" xfId="0" applyNumberFormat="1" applyFont="1" applyBorder="1" applyAlignment="1" applyProtection="1">
      <alignment horizontal="center" vertical="center"/>
      <protection hidden="1"/>
    </xf>
    <xf numFmtId="0" fontId="0" fillId="8" borderId="4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right" vertical="center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21" fontId="0" fillId="0" borderId="5" xfId="0" applyNumberFormat="1" applyBorder="1" applyProtection="1">
      <protection hidden="1"/>
    </xf>
    <xf numFmtId="0" fontId="0" fillId="6" borderId="4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22" fontId="0" fillId="0" borderId="5" xfId="0" applyNumberFormat="1" applyBorder="1" applyProtection="1">
      <protection hidden="1"/>
    </xf>
    <xf numFmtId="22" fontId="0" fillId="0" borderId="0" xfId="0" applyNumberFormat="1" applyProtection="1">
      <protection hidden="1"/>
    </xf>
    <xf numFmtId="164" fontId="0" fillId="0" borderId="0" xfId="0" applyNumberFormat="1" applyFont="1" applyProtection="1">
      <protection hidden="1"/>
    </xf>
    <xf numFmtId="21" fontId="0" fillId="0" borderId="0" xfId="0" applyNumberFormat="1" applyProtection="1">
      <protection hidden="1"/>
    </xf>
    <xf numFmtId="0" fontId="16" fillId="0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10" fontId="2" fillId="0" borderId="0" xfId="4" applyNumberFormat="1" applyFont="1" applyFill="1" applyAlignment="1" applyProtection="1">
      <alignment horizontal="left" vertical="center"/>
      <protection hidden="1"/>
    </xf>
    <xf numFmtId="0" fontId="0" fillId="8" borderId="4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3" fillId="0" borderId="0" xfId="0" applyFont="1" applyProtection="1">
      <protection hidden="1"/>
    </xf>
    <xf numFmtId="0" fontId="19" fillId="0" borderId="4" xfId="0" applyFont="1" applyBorder="1" applyAlignment="1" applyProtection="1">
      <alignment horizontal="left" vertical="center" indent="1"/>
      <protection hidden="1"/>
    </xf>
    <xf numFmtId="164" fontId="19" fillId="0" borderId="4" xfId="0" applyNumberFormat="1" applyFont="1" applyBorder="1" applyAlignment="1" applyProtection="1">
      <alignment horizontal="center" vertical="center"/>
      <protection hidden="1"/>
    </xf>
    <xf numFmtId="164" fontId="28" fillId="0" borderId="4" xfId="0" applyNumberFormat="1" applyFont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1" fontId="19" fillId="0" borderId="4" xfId="0" applyNumberFormat="1" applyFont="1" applyBorder="1" applyAlignment="1" applyProtection="1">
      <alignment horizontal="center" vertical="center"/>
      <protection hidden="1"/>
    </xf>
    <xf numFmtId="1" fontId="28" fillId="0" borderId="4" xfId="0" applyNumberFormat="1" applyFont="1" applyBorder="1" applyAlignment="1" applyProtection="1">
      <alignment horizontal="center" vertical="center"/>
      <protection hidden="1"/>
    </xf>
    <xf numFmtId="0" fontId="28" fillId="0" borderId="4" xfId="0" applyFont="1" applyBorder="1" applyAlignment="1" applyProtection="1">
      <alignment horizontal="left" vertical="center" indent="1"/>
      <protection hidden="1"/>
    </xf>
  </cellXfs>
  <cellStyles count="6">
    <cellStyle name="Hiperlink" xfId="5" builtinId="8"/>
    <cellStyle name="Normal" xfId="0" builtinId="0"/>
    <cellStyle name="Normal 2" xfId="1"/>
    <cellStyle name="Normal 2 2" xfId="2"/>
    <cellStyle name="Normal 2 3" xfId="3"/>
    <cellStyle name="Porcentagem" xfId="4" builtinId="5"/>
  </cellStyles>
  <dxfs count="28">
    <dxf>
      <alignment horizontal="left" vertical="center" textRotation="0" wrapText="0" relativeIndent="-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center" textRotation="0" wrapText="0" relativeIndent="-1" justifyLastLine="0" shrinkToFit="0" readingOrder="0"/>
      <protection locked="1" hidden="1"/>
    </dxf>
    <dxf>
      <numFmt numFmtId="164" formatCode="[h]:mm:ss;@"/>
      <alignment horizontal="left" vertical="center" textRotation="0" wrapText="0" indent="0" justifyLastLine="0" shrinkToFit="0" readingOrder="0"/>
      <protection locked="1" hidden="1"/>
    </dxf>
    <dxf>
      <numFmt numFmtId="164" formatCode="[h]:mm:ss;@"/>
      <alignment horizontal="left" vertical="center" textRotation="0" wrapText="0" indent="0" justifyLastLine="0" shrinkToFit="0" readingOrder="0"/>
      <protection locked="1" hidden="1"/>
    </dxf>
    <dxf>
      <numFmt numFmtId="164" formatCode="[h]:mm:ss;@"/>
      <alignment horizontal="left" vertical="center" textRotation="0" wrapText="0" relativeIndent="-1" justifyLastLine="0" shrinkToFit="0" readingOrder="0"/>
      <protection locked="1" hidden="1"/>
    </dxf>
    <dxf>
      <numFmt numFmtId="164" formatCode="[h]:mm:ss;@"/>
      <alignment horizontal="left" vertical="center" textRotation="0" wrapText="0" relativeIndent="-1" justifyLastLine="0" shrinkToFit="0" readingOrder="0"/>
      <protection locked="1" hidden="1"/>
    </dxf>
    <dxf>
      <numFmt numFmtId="164" formatCode="[h]:mm:ss;@"/>
      <alignment horizontal="left" vertical="center" textRotation="0" wrapText="0" relativeIndent="-1" justifyLastLine="0" shrinkToFit="0" readingOrder="0"/>
      <protection locked="1" hidden="1"/>
    </dxf>
    <dxf>
      <numFmt numFmtId="0" formatCode="General"/>
      <alignment horizontal="left" vertical="center" textRotation="0" wrapText="0" relativeIndent="-1" justifyLastLine="0" shrinkToFit="0" readingOrder="0"/>
      <protection locked="1" hidden="1"/>
    </dxf>
    <dxf>
      <alignment horizontal="left" vertical="center" textRotation="0" wrapText="0" relativeIndent="-1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1" indent="1" justifyLastLine="0" shrinkToFit="0" readingOrder="0"/>
      <protection locked="1" hidden="1"/>
    </dxf>
    <dxf>
      <numFmt numFmtId="164" formatCode="[h]:mm:ss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1"/>
    </dxf>
    <dxf>
      <numFmt numFmtId="164" formatCode="[h]:mm:ss;@"/>
      <alignment horizontal="left" vertical="center" textRotation="0" wrapText="0" indent="0" justifyLastLine="0" shrinkToFit="0" readingOrder="0"/>
      <protection locked="1" hidden="1"/>
    </dxf>
    <dxf>
      <numFmt numFmtId="164" formatCode="[h]:mm:ss;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numFmt numFmtId="164" formatCode="[h]:mm:ss;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numFmt numFmtId="164" formatCode="[h]:mm:ss;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numFmt numFmtId="164" formatCode="[h]:mm:ss;@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numFmt numFmtId="27" formatCode="dd/mm/yyyy\ hh:mm"/>
      <alignment horizontal="left" vertical="center" textRotation="0" wrapText="0" indent="0" justifyLastLine="0" shrinkToFit="0" readingOrder="0"/>
      <protection locked="1" hidden="1"/>
    </dxf>
    <dxf>
      <numFmt numFmtId="27" formatCode="dd/mm/yyyy\ hh:mm"/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relativeIndent="1" justifyLastLine="0" shrinkToFit="0" readingOrder="0"/>
      <protection locked="1" hidden="1"/>
    </dxf>
    <dxf>
      <font>
        <b/>
        <i val="0"/>
        <color rgb="FFC00000"/>
      </font>
      <fill>
        <patternFill>
          <bgColor rgb="FFFFBDBD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b/>
        <i val="0"/>
        <color theme="7" tint="-0.499984740745262"/>
      </font>
      <fill>
        <patternFill>
          <bgColor rgb="FFFFE38B"/>
        </patternFill>
      </fill>
    </dxf>
  </dxfs>
  <tableStyles count="0" defaultTableStyle="TableStyleMedium2" defaultPivotStyle="PivotStyleLight16"/>
  <colors>
    <mruColors>
      <color rgb="FFFFBDBD"/>
      <color rgb="FFFFAFAF"/>
      <color rgb="FFFFE38B"/>
      <color rgb="FFFFABAB"/>
      <color rgb="FFFF9F9F"/>
      <color rgb="FFFF2929"/>
      <color rgb="FFFF1111"/>
      <color rgb="FFE6E6E6"/>
      <color rgb="FFEFEFEF"/>
      <color rgb="FF8D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Res!$B$11</c:f>
              <c:strCache>
                <c:ptCount val="1"/>
                <c:pt idx="0">
                  <c:v>Câmera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Res!$C$11:$N$11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Res!$B$12</c:f>
              <c:strCache>
                <c:ptCount val="1"/>
                <c:pt idx="0">
                  <c:v>Sensor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Res!$C$12:$N$12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Res!$B$13</c:f>
              <c:strCache>
                <c:ptCount val="1"/>
                <c:pt idx="0">
                  <c:v>Central de alarme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Res!$C$13:$N$13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Res!$B$14</c:f>
              <c:strCache>
                <c:ptCount val="1"/>
                <c:pt idx="0">
                  <c:v>Servidor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Res!$C$14:$N$14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Res!$B$15</c:f>
              <c:strCache>
                <c:ptCount val="1"/>
                <c:pt idx="0">
                  <c:v>DVR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Res!$C$15:$N$15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Res!$B$16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Res!$C$16:$N$16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Res!$B$17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Res!$C$17:$N$17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Res!$B$18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Res!$C$18:$N$18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Res!$B$19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Res!$C$19:$N$19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Res!$B$20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Res!$C$20:$N$20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5406208"/>
        <c:axId val="205407744"/>
      </c:barChart>
      <c:catAx>
        <c:axId val="20540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5407744"/>
        <c:crosses val="autoZero"/>
        <c:auto val="1"/>
        <c:lblAlgn val="ctr"/>
        <c:lblOffset val="100"/>
        <c:noMultiLvlLbl val="0"/>
      </c:catAx>
      <c:valAx>
        <c:axId val="205407744"/>
        <c:scaling>
          <c:orientation val="minMax"/>
        </c:scaling>
        <c:delete val="0"/>
        <c:axPos val="l"/>
        <c:majorGridlines/>
        <c:minorGridlines/>
        <c:numFmt formatCode="[h]:mm:ss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05406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Res!$B$53</c:f>
              <c:strCache>
                <c:ptCount val="1"/>
                <c:pt idx="0">
                  <c:v>Administrativo - Câmera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Res!$C$53:$N$53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Res!$B$54</c:f>
              <c:strCache>
                <c:ptCount val="1"/>
                <c:pt idx="0">
                  <c:v>Administrativo - Sensor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Res!$B$55</c:f>
              <c:strCache>
                <c:ptCount val="1"/>
                <c:pt idx="0">
                  <c:v>Administrativo - Central de alarme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Res!$B$56</c:f>
              <c:strCache>
                <c:ptCount val="1"/>
                <c:pt idx="0">
                  <c:v>Administrativo - Servidor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Res!$C$56:$N$56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Res!$B$57</c:f>
              <c:strCache>
                <c:ptCount val="1"/>
                <c:pt idx="0">
                  <c:v>Administrativo - DVR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Res!$C$57:$N$57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Res!$B$58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Res!$C$58:$N$58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Res!$B$59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Res!$C$59:$N$59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Res!$B$60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Res!$C$60:$N$60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Res!$B$61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Res!$C$61:$N$61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Res!$B$62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Res!$C$62:$N$62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5836672"/>
        <c:axId val="205838208"/>
      </c:barChart>
      <c:catAx>
        <c:axId val="20583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5838208"/>
        <c:crosses val="autoZero"/>
        <c:auto val="1"/>
        <c:lblAlgn val="ctr"/>
        <c:lblOffset val="100"/>
        <c:noMultiLvlLbl val="0"/>
      </c:catAx>
      <c:valAx>
        <c:axId val="205838208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2058366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418326345213135E-2"/>
          <c:y val="0.81173228346456694"/>
          <c:w val="0.96181953179594692"/>
          <c:h val="0.1604899387576553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</a:t>
            </a:r>
            <a:r>
              <a:rPr lang="en-US" sz="1100" b="0" baseline="0"/>
              <a:t> no ano por equipamento</a:t>
            </a:r>
            <a:endParaRPr lang="en-US" sz="1100" b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Res!$O$52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Res!$B$53:$B$62</c:f>
              <c:strCache>
                <c:ptCount val="5"/>
                <c:pt idx="0">
                  <c:v>Administrativo - Câmera 1</c:v>
                </c:pt>
                <c:pt idx="1">
                  <c:v>Administrativo - Sensor 1</c:v>
                </c:pt>
                <c:pt idx="2">
                  <c:v>Administrativo - Central de alarme 1</c:v>
                </c:pt>
                <c:pt idx="3">
                  <c:v>Administrativo - Servidor 1</c:v>
                </c:pt>
                <c:pt idx="4">
                  <c:v>Administrativo - DVR 1</c:v>
                </c:pt>
              </c:strCache>
            </c:strRef>
          </c:cat>
          <c:val>
            <c:numRef>
              <c:f>Res!$O$53:$O$62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845288326300983"/>
          <c:y val="0.11980715952172648"/>
          <c:w val="0.25815049226441633"/>
          <c:h val="0.82719087197433649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Res!$B$63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Res!$C$63:$N$63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763633966244726"/>
          <c:y val="9.2799650043744533E-2"/>
          <c:w val="0.11023997890295359"/>
          <c:h val="0.85805810731991838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Res!$B$67</c:f>
              <c:strCache>
                <c:ptCount val="1"/>
                <c:pt idx="0">
                  <c:v>Administrativo</c:v>
                </c:pt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Res!$C$67:$N$67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Res!$B$68</c:f>
              <c:strCache>
                <c:ptCount val="1"/>
                <c:pt idx="0">
                  <c:v>Manutenção</c:v>
                </c:pt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Res!$C$68:$N$68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Res!$B$69</c:f>
              <c:strCache>
                <c:ptCount val="1"/>
                <c:pt idx="0">
                  <c:v>Suprimentos</c:v>
                </c:pt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Res!$C$69:$N$69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Res!$B$70</c:f>
              <c:strCache>
                <c:ptCount val="1"/>
                <c:pt idx="0">
                  <c:v>Operação</c:v>
                </c:pt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Res!$C$70:$N$70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Res!$B$71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Res!$C$71:$N$71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Res!$B$72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Res!$C$72:$N$72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Res!$B$73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Res!$C$73:$N$73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Res!$B$74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Res!$C$74:$N$74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Res!$B$75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Res!$C$75:$N$75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Res!$B$76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Res!$C$76:$N$76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06418688"/>
        <c:axId val="206420224"/>
      </c:barChart>
      <c:catAx>
        <c:axId val="20641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06420224"/>
        <c:crosses val="autoZero"/>
        <c:auto val="1"/>
        <c:lblAlgn val="ctr"/>
        <c:lblOffset val="100"/>
        <c:noMultiLvlLbl val="0"/>
      </c:catAx>
      <c:valAx>
        <c:axId val="206420224"/>
        <c:scaling>
          <c:orientation val="minMax"/>
        </c:scaling>
        <c:delete val="0"/>
        <c:axPos val="l"/>
        <c:majorGridlines/>
        <c:minorGridlines/>
        <c:numFmt formatCode="[h]:mm:ss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06418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Res!$B$77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Res!$C$77:$N$77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3113429571303588"/>
          <c:y val="0.11036745406824149"/>
          <c:w val="0.15219903762029746"/>
          <c:h val="0.85069991251093613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Res!$O$66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Res!$B$67:$B$76</c:f>
              <c:strCache>
                <c:ptCount val="4"/>
                <c:pt idx="0">
                  <c:v>Administrativo</c:v>
                </c:pt>
                <c:pt idx="1">
                  <c:v>Manutenção</c:v>
                </c:pt>
                <c:pt idx="2">
                  <c:v>Suprimentos</c:v>
                </c:pt>
                <c:pt idx="3">
                  <c:v>Operação</c:v>
                </c:pt>
              </c:strCache>
            </c:strRef>
          </c:cat>
          <c:val>
            <c:numRef>
              <c:f>Res!$O$67:$O$76</c:f>
              <c:numCache>
                <c:formatCode>[h]:mm:ss;@</c:formatCode>
                <c:ptCount val="10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957830271216101"/>
          <c:y val="0.11962671332750074"/>
          <c:w val="0.19375503062117236"/>
          <c:h val="0.82292213473315834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Res!$B$81</c:f>
              <c:strCache>
                <c:ptCount val="1"/>
                <c:pt idx="0">
                  <c:v>Administrativo</c:v>
                </c:pt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Res!$C$81:$N$81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Res!$B$82</c:f>
              <c:strCache>
                <c:ptCount val="1"/>
                <c:pt idx="0">
                  <c:v>Manutenção</c:v>
                </c:pt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Res!$C$82:$N$82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Res!$B$83</c:f>
              <c:strCache>
                <c:ptCount val="1"/>
                <c:pt idx="0">
                  <c:v>Suprimentos</c:v>
                </c:pt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Res!$C$83:$N$83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Res!$B$84</c:f>
              <c:strCache>
                <c:ptCount val="1"/>
                <c:pt idx="0">
                  <c:v>Operação</c:v>
                </c:pt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Res!$C$84:$N$84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Res!$B$85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Res!$C$85:$N$85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Res!$B$86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Res!$C$86:$N$86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Res!$B$87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Res!$C$87:$N$87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Res!$B$88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Res!$C$88:$N$88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Res!$B$89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Res!$C$89:$N$89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Res!$B$90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Res!$C$90:$N$90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06215808"/>
        <c:axId val="206229888"/>
      </c:barChart>
      <c:catAx>
        <c:axId val="20621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6229888"/>
        <c:crosses val="autoZero"/>
        <c:auto val="1"/>
        <c:lblAlgn val="ctr"/>
        <c:lblOffset val="100"/>
        <c:noMultiLvlLbl val="0"/>
      </c:catAx>
      <c:valAx>
        <c:axId val="206229888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206215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Res!$B$91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Res!$C$91:$N$91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3113429571303588"/>
          <c:y val="0.10573782443861186"/>
          <c:w val="0.15219903762029746"/>
          <c:h val="0.83681102362204729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Res!$O$80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Res!$B$81:$B$90</c:f>
              <c:strCache>
                <c:ptCount val="4"/>
                <c:pt idx="0">
                  <c:v>Administrativo</c:v>
                </c:pt>
                <c:pt idx="1">
                  <c:v>Manutenção</c:v>
                </c:pt>
                <c:pt idx="2">
                  <c:v>Suprimentos</c:v>
                </c:pt>
                <c:pt idx="3">
                  <c:v>Operação</c:v>
                </c:pt>
              </c:strCache>
            </c:strRef>
          </c:cat>
          <c:val>
            <c:numRef>
              <c:f>Res!$O$81:$O$90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0925349956255466"/>
          <c:y val="0.10591827063283758"/>
          <c:w val="0.17407983377077865"/>
          <c:h val="0.808672353455818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Res!$B$11</c:f>
              <c:strCache>
                <c:ptCount val="1"/>
                <c:pt idx="0">
                  <c:v>Câmera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Res!$C$11:$N$11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Res!$B$12</c:f>
              <c:strCache>
                <c:ptCount val="1"/>
                <c:pt idx="0">
                  <c:v>Sensor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Res!$C$12:$N$12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Res!$B$13</c:f>
              <c:strCache>
                <c:ptCount val="1"/>
                <c:pt idx="0">
                  <c:v>Central de alarme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Res!$C$13:$N$13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Res!$B$14</c:f>
              <c:strCache>
                <c:ptCount val="1"/>
                <c:pt idx="0">
                  <c:v>Servidor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Res!$C$14:$N$14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Res!$B$15</c:f>
              <c:strCache>
                <c:ptCount val="1"/>
                <c:pt idx="0">
                  <c:v>DVR</c:v>
                </c:pt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Res!$C$15:$N$15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Res!$B$16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Res!$C$16:$N$16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Res!$B$17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Res!$C$17:$N$17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Res!$B$18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Res!$C$18:$N$18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Res!$B$19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Res!$C$19:$N$19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Res!$B$20</c:f>
              <c:strCache>
                <c:ptCount val="1"/>
              </c:strCache>
            </c:strRef>
          </c:tx>
          <c:invertIfNegative val="0"/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Res!$C$20:$N$20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2225024"/>
        <c:axId val="212230912"/>
      </c:barChart>
      <c:catAx>
        <c:axId val="21222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230912"/>
        <c:crosses val="autoZero"/>
        <c:auto val="1"/>
        <c:lblAlgn val="ctr"/>
        <c:lblOffset val="100"/>
        <c:noMultiLvlLbl val="0"/>
      </c:catAx>
      <c:valAx>
        <c:axId val="212230912"/>
        <c:scaling>
          <c:orientation val="minMax"/>
        </c:scaling>
        <c:delete val="0"/>
        <c:axPos val="l"/>
        <c:majorGridlines/>
        <c:minorGridlines/>
        <c:numFmt formatCode="[h]:mm:ss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12225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  <a:r>
              <a:rPr lang="en-US" sz="1100" b="0" baseline="0"/>
              <a:t> por categoria</a:t>
            </a:r>
            <a:endParaRPr lang="en-US" sz="1100" b="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Res!$O$10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Res!$B$11:$B$20</c:f>
              <c:strCache>
                <c:ptCount val="5"/>
                <c:pt idx="0">
                  <c:v>Câmera</c:v>
                </c:pt>
                <c:pt idx="1">
                  <c:v>Sensor</c:v>
                </c:pt>
                <c:pt idx="2">
                  <c:v>Central de alarme</c:v>
                </c:pt>
                <c:pt idx="3">
                  <c:v>Servidor</c:v>
                </c:pt>
                <c:pt idx="4">
                  <c:v>DVR</c:v>
                </c:pt>
              </c:strCache>
            </c:strRef>
          </c:cat>
          <c:val>
            <c:numRef>
              <c:f>Res!$O$11:$O$20</c:f>
              <c:numCache>
                <c:formatCode>[h]:mm:ss;@</c:formatCode>
                <c:ptCount val="10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22267932489452"/>
          <c:y val="0.10591827063283758"/>
          <c:w val="0.17437658227848102"/>
          <c:h val="0.85033902012248463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</a:t>
            </a:r>
            <a:r>
              <a:rPr lang="en-US" sz="1100" b="0" baseline="0"/>
              <a:t> por categoria</a:t>
            </a:r>
            <a:endParaRPr lang="en-US" sz="1100" b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Res!$O$10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Res!$B$11:$B$20</c:f>
              <c:strCache>
                <c:ptCount val="5"/>
                <c:pt idx="0">
                  <c:v>Câmera</c:v>
                </c:pt>
                <c:pt idx="1">
                  <c:v>Sensor</c:v>
                </c:pt>
                <c:pt idx="2">
                  <c:v>Central de alarme</c:v>
                </c:pt>
                <c:pt idx="3">
                  <c:v>Servidor</c:v>
                </c:pt>
                <c:pt idx="4">
                  <c:v>DVR</c:v>
                </c:pt>
              </c:strCache>
            </c:strRef>
          </c:cat>
          <c:val>
            <c:numRef>
              <c:f>Res!$O$11:$O$20</c:f>
              <c:numCache>
                <c:formatCode>[h]:mm:ss;@</c:formatCode>
                <c:ptCount val="10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0168337789661315"/>
          <c:y val="0.12906641878098574"/>
          <c:w val="0.18416778074866311"/>
          <c:h val="0.81330198308544766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</a:t>
            </a:r>
            <a:r>
              <a:rPr lang="en-US" sz="1100" b="0" baseline="0"/>
              <a:t> mensal</a:t>
            </a:r>
            <a:endParaRPr lang="en-US" sz="1100" b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Res!$B$21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Res!$C$21:$N$21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6942123440285202"/>
          <c:y val="0.10205890930300379"/>
          <c:w val="0.11642992424242424"/>
          <c:h val="0.84879884806065908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Res!$B$25</c:f>
              <c:strCache>
                <c:ptCount val="1"/>
                <c:pt idx="0">
                  <c:v>Câmera offline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Res!$C$25:$N$25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Res!$B$26</c:f>
              <c:strCache>
                <c:ptCount val="1"/>
                <c:pt idx="0">
                  <c:v>Alarme offline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Res!$C$26:$N$26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Res!$B$27</c:f>
              <c:strCache>
                <c:ptCount val="1"/>
                <c:pt idx="0">
                  <c:v>Central de alarme inoperante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Res!$C$27:$N$27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Res!$B$28</c:f>
              <c:strCache>
                <c:ptCount val="1"/>
                <c:pt idx="0">
                  <c:v>DVR offline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Res!$C$28:$N$28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Res!$B$29</c:f>
              <c:strCache>
                <c:ptCount val="1"/>
                <c:pt idx="0">
                  <c:v>Sensores Inoperantes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Res!$C$29:$N$29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Res!$B$30</c:f>
              <c:strCache>
                <c:ptCount val="1"/>
                <c:pt idx="0">
                  <c:v>Servidor offline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Res!$C$30:$N$30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Res!$B$31</c:f>
              <c:strCache>
                <c:ptCount val="1"/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Res!$C$31:$N$31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Res!$B$32</c:f>
              <c:strCache>
                <c:ptCount val="1"/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Res!$C$32:$N$32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Res!$B$33</c:f>
              <c:strCache>
                <c:ptCount val="1"/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Res!$C$33:$N$33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Res!$B$34</c:f>
              <c:strCache>
                <c:ptCount val="1"/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Res!$C$34:$N$34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022784"/>
        <c:axId val="212024320"/>
      </c:barChart>
      <c:catAx>
        <c:axId val="2120227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024320"/>
        <c:crosses val="autoZero"/>
        <c:auto val="1"/>
        <c:lblAlgn val="ctr"/>
        <c:lblOffset val="100"/>
        <c:noMultiLvlLbl val="0"/>
      </c:catAx>
      <c:valAx>
        <c:axId val="212024320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212022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 por falha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Res!$O$24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Res!$B$25:$B$34</c:f>
              <c:strCache>
                <c:ptCount val="6"/>
                <c:pt idx="0">
                  <c:v>Câmera offline</c:v>
                </c:pt>
                <c:pt idx="1">
                  <c:v>Alarme offline</c:v>
                </c:pt>
                <c:pt idx="2">
                  <c:v>Central de alarme inoperante</c:v>
                </c:pt>
                <c:pt idx="3">
                  <c:v>DVR offline</c:v>
                </c:pt>
                <c:pt idx="4">
                  <c:v>Sensores Inoperantes</c:v>
                </c:pt>
                <c:pt idx="5">
                  <c:v>Servidor offline</c:v>
                </c:pt>
              </c:strCache>
            </c:strRef>
          </c:cat>
          <c:val>
            <c:numRef>
              <c:f>Res!$O$25:$O$34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7781899881164585"/>
          <c:y val="0.10128864100320796"/>
          <c:w val="0.20803215983363041"/>
          <c:h val="0.8457093904928551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Res!$B$35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Res!$C$35:$N$35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6942123440285202"/>
          <c:y val="8.3540390784485274E-2"/>
          <c:w val="0.11642992424242424"/>
          <c:h val="0.86731736657917757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Res!$B$39</c:f>
              <c:strCache>
                <c:ptCount val="1"/>
                <c:pt idx="0">
                  <c:v>Administrativo - Câmera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Res!$C$39:$N$39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Res!$B$40</c:f>
              <c:strCache>
                <c:ptCount val="1"/>
                <c:pt idx="0">
                  <c:v>Administrativo - Sensor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Res!$C$40:$N$40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Res!$B$41</c:f>
              <c:strCache>
                <c:ptCount val="1"/>
                <c:pt idx="0">
                  <c:v>Administrativo - Central de alarme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Res!$C$41:$N$41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Res!$B$42</c:f>
              <c:strCache>
                <c:ptCount val="1"/>
                <c:pt idx="0">
                  <c:v>Administrativo - Servidor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Res!$C$42:$N$42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Res!$B$43</c:f>
              <c:strCache>
                <c:ptCount val="1"/>
                <c:pt idx="0">
                  <c:v>Administrativo - DVR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Res!$C$43:$N$43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Res!$B$44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Res!$C$44:$N$44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Res!$B$45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Res!$C$45:$N$45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Res!$B$46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Res!$C$46:$N$46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Res!$B$47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Res!$C$47:$N$47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Res!$B$48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Res!$C$48:$N$48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2196352"/>
        <c:axId val="212271872"/>
      </c:barChart>
      <c:catAx>
        <c:axId val="212196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271872"/>
        <c:crosses val="autoZero"/>
        <c:auto val="1"/>
        <c:lblAlgn val="ctr"/>
        <c:lblOffset val="100"/>
        <c:noMultiLvlLbl val="0"/>
      </c:catAx>
      <c:valAx>
        <c:axId val="212271872"/>
        <c:scaling>
          <c:orientation val="minMax"/>
        </c:scaling>
        <c:delete val="0"/>
        <c:axPos val="l"/>
        <c:majorGridlines/>
        <c:minorGridlines/>
        <c:numFmt formatCode="[h]:mm:ss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12196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 por equipamento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Res!$O$38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Res!$B$39:$B$48</c:f>
              <c:strCache>
                <c:ptCount val="5"/>
                <c:pt idx="0">
                  <c:v>Administrativo - Câmera 1</c:v>
                </c:pt>
                <c:pt idx="1">
                  <c:v>Administrativo - Sensor 1</c:v>
                </c:pt>
                <c:pt idx="2">
                  <c:v>Administrativo - Central de alarme 1</c:v>
                </c:pt>
                <c:pt idx="3">
                  <c:v>Administrativo - Servidor 1</c:v>
                </c:pt>
                <c:pt idx="4">
                  <c:v>Administrativo - DVR 1</c:v>
                </c:pt>
              </c:strCache>
            </c:strRef>
          </c:cat>
          <c:val>
            <c:numRef>
              <c:f>Res!$O$39:$O$48</c:f>
              <c:numCache>
                <c:formatCode>[h]:mm:ss;@</c:formatCode>
                <c:ptCount val="10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32055852644088"/>
          <c:y val="0.11517752989209684"/>
          <c:w val="0.27264557338086748"/>
          <c:h val="0.85496864975211428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Res!$B$49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Res!$C$49:$N$49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6942123440285202"/>
          <c:y val="7.8910761154855638E-2"/>
          <c:w val="0.11642992424242424"/>
          <c:h val="0.87194699620880722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Res!$B$53</c:f>
              <c:strCache>
                <c:ptCount val="1"/>
                <c:pt idx="0">
                  <c:v>Administrativo - Câmera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Res!$C$53:$N$53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Res!$B$54</c:f>
              <c:strCache>
                <c:ptCount val="1"/>
                <c:pt idx="0">
                  <c:v>Administrativo - Sensor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Res!$B$55</c:f>
              <c:strCache>
                <c:ptCount val="1"/>
                <c:pt idx="0">
                  <c:v>Administrativo - Central de alarme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Res!$B$56</c:f>
              <c:strCache>
                <c:ptCount val="1"/>
                <c:pt idx="0">
                  <c:v>Administrativo - Servidor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Res!$C$56:$N$56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Res!$B$57</c:f>
              <c:strCache>
                <c:ptCount val="1"/>
                <c:pt idx="0">
                  <c:v>Administrativo - DVR 1</c:v>
                </c:pt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Res!$C$57:$N$57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Res!$B$58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Res!$C$58:$N$58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Res!$B$59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Res!$C$59:$N$59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Res!$B$60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Res!$C$60:$N$60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Res!$B$61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Res!$C$61:$N$61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Res!$B$62</c:f>
              <c:strCache>
                <c:ptCount val="1"/>
              </c:strCache>
            </c:strRef>
          </c:tx>
          <c:invertIfNegative val="0"/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Res!$C$62:$N$62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12714624"/>
        <c:axId val="212716160"/>
      </c:barChart>
      <c:catAx>
        <c:axId val="21271462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716160"/>
        <c:crosses val="autoZero"/>
        <c:auto val="1"/>
        <c:lblAlgn val="ctr"/>
        <c:lblOffset val="100"/>
        <c:noMultiLvlLbl val="0"/>
      </c:catAx>
      <c:valAx>
        <c:axId val="212716160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21271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418326345213135E-2"/>
          <c:y val="0.81173228346456694"/>
          <c:w val="0.96181953179594692"/>
          <c:h val="0.1604899387576553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</a:t>
            </a:r>
            <a:r>
              <a:rPr lang="en-US" sz="1100" b="0" baseline="0"/>
              <a:t> no ano por equipamento</a:t>
            </a:r>
            <a:endParaRPr lang="en-US" sz="1100" b="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Res!$O$52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Res!$B$53:$B$62</c:f>
              <c:strCache>
                <c:ptCount val="5"/>
                <c:pt idx="0">
                  <c:v>Administrativo - Câmera 1</c:v>
                </c:pt>
                <c:pt idx="1">
                  <c:v>Administrativo - Sensor 1</c:v>
                </c:pt>
                <c:pt idx="2">
                  <c:v>Administrativo - Central de alarme 1</c:v>
                </c:pt>
                <c:pt idx="3">
                  <c:v>Administrativo - Servidor 1</c:v>
                </c:pt>
                <c:pt idx="4">
                  <c:v>Administrativo - DVR 1</c:v>
                </c:pt>
              </c:strCache>
            </c:strRef>
          </c:cat>
          <c:val>
            <c:numRef>
              <c:f>Res!$O$53:$O$62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32055852644088"/>
          <c:y val="0.11054790026246722"/>
          <c:w val="0.27264557338086748"/>
          <c:h val="0.85033902012248463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</a:t>
            </a:r>
            <a:r>
              <a:rPr lang="en-US" sz="1100" b="0" baseline="0"/>
              <a:t> mensal</a:t>
            </a:r>
            <a:endParaRPr lang="en-US" sz="1100" b="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Res!$B$21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Res!$C$10:$N$10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Res!$C$21:$N$21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763633966244726"/>
          <c:y val="8.8170020414114897E-2"/>
          <c:w val="0.11023997890295359"/>
          <c:h val="0.86268773694954792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Res!$B$63</c:f>
              <c:strCache>
                <c:ptCount val="1"/>
                <c:pt idx="0">
                  <c:v>Total</c:v>
                </c:pt>
              </c:strCache>
            </c:strRef>
          </c:tx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Res!$C$52:$N$52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Res!$C$63:$N$63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6942123440285202"/>
          <c:y val="8.8170020414114897E-2"/>
          <c:w val="0.11642992424242424"/>
          <c:h val="0.86268773694954792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Res!$B$67</c:f>
              <c:strCache>
                <c:ptCount val="1"/>
                <c:pt idx="0">
                  <c:v>Administrativo</c:v>
                </c:pt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Res!$C$67:$N$67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Res!$B$68</c:f>
              <c:strCache>
                <c:ptCount val="1"/>
                <c:pt idx="0">
                  <c:v>Manutenção</c:v>
                </c:pt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Res!$C$68:$N$68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Res!$B$69</c:f>
              <c:strCache>
                <c:ptCount val="1"/>
                <c:pt idx="0">
                  <c:v>Suprimentos</c:v>
                </c:pt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Res!$C$69:$N$69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Res!$B$70</c:f>
              <c:strCache>
                <c:ptCount val="1"/>
                <c:pt idx="0">
                  <c:v>Operação</c:v>
                </c:pt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Res!$C$70:$N$70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Res!$B$71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Res!$C$71:$N$71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Res!$B$72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Res!$C$72:$N$72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Res!$B$73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Res!$C$73:$N$73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Res!$B$74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Res!$C$74:$N$74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Res!$B$75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Res!$C$75:$N$75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Res!$B$76</c:f>
              <c:strCache>
                <c:ptCount val="1"/>
              </c:strCache>
            </c:strRef>
          </c:tx>
          <c:invertIfNegative val="0"/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Res!$C$76:$N$76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62592"/>
        <c:axId val="212464384"/>
      </c:barChart>
      <c:catAx>
        <c:axId val="21246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64384"/>
        <c:crosses val="autoZero"/>
        <c:auto val="1"/>
        <c:lblAlgn val="ctr"/>
        <c:lblOffset val="100"/>
        <c:noMultiLvlLbl val="0"/>
      </c:catAx>
      <c:valAx>
        <c:axId val="212464384"/>
        <c:scaling>
          <c:orientation val="minMax"/>
        </c:scaling>
        <c:delete val="0"/>
        <c:axPos val="l"/>
        <c:majorGridlines/>
        <c:minorGridlines/>
        <c:numFmt formatCode="[h]:mm:ss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12462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Res!$B$77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Res!$C$66:$N$66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Res!$C$77:$N$77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3113429571303588"/>
          <c:y val="0.11036745406824149"/>
          <c:w val="0.15219903762029746"/>
          <c:h val="0.85069991251093613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Res!$O$66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Res!$B$67:$B$76</c:f>
              <c:strCache>
                <c:ptCount val="4"/>
                <c:pt idx="0">
                  <c:v>Administrativo</c:v>
                </c:pt>
                <c:pt idx="1">
                  <c:v>Manutenção</c:v>
                </c:pt>
                <c:pt idx="2">
                  <c:v>Suprimentos</c:v>
                </c:pt>
                <c:pt idx="3">
                  <c:v>Operação</c:v>
                </c:pt>
              </c:strCache>
            </c:strRef>
          </c:cat>
          <c:val>
            <c:numRef>
              <c:f>Res!$O$67:$O$76</c:f>
              <c:numCache>
                <c:formatCode>[h]:mm:ss;@</c:formatCode>
                <c:ptCount val="10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957830271216101"/>
          <c:y val="0.11962671332750074"/>
          <c:w val="0.19375503062117236"/>
          <c:h val="0.82292213473315834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Res!$B$81</c:f>
              <c:strCache>
                <c:ptCount val="1"/>
                <c:pt idx="0">
                  <c:v>Administrativo</c:v>
                </c:pt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Res!$C$81:$N$81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Res!$B$82</c:f>
              <c:strCache>
                <c:ptCount val="1"/>
                <c:pt idx="0">
                  <c:v>Manutenção</c:v>
                </c:pt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Res!$C$82:$N$82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Res!$B$83</c:f>
              <c:strCache>
                <c:ptCount val="1"/>
                <c:pt idx="0">
                  <c:v>Suprimentos</c:v>
                </c:pt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Res!$C$83:$N$83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Res!$B$84</c:f>
              <c:strCache>
                <c:ptCount val="1"/>
                <c:pt idx="0">
                  <c:v>Operação</c:v>
                </c:pt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Res!$C$84:$N$84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Res!$B$85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Res!$C$85:$N$85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Res!$B$86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Res!$C$86:$N$86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Res!$B$87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Res!$C$87:$N$87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Res!$B$88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Res!$C$88:$N$88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Res!$B$89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Res!$C$89:$N$89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Res!$B$90</c:f>
              <c:strCache>
                <c:ptCount val="1"/>
              </c:strCache>
            </c:strRef>
          </c:tx>
          <c:invertIfNegative val="0"/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Res!$C$90:$N$90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636800"/>
        <c:axId val="212638336"/>
      </c:barChart>
      <c:catAx>
        <c:axId val="21263680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638336"/>
        <c:crosses val="autoZero"/>
        <c:auto val="1"/>
        <c:lblAlgn val="ctr"/>
        <c:lblOffset val="100"/>
        <c:noMultiLvlLbl val="0"/>
      </c:catAx>
      <c:valAx>
        <c:axId val="212638336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212636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Res!$B$91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Res!$C$80:$N$80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Res!$C$91:$N$91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3113429571303588"/>
          <c:y val="0.10573782443861186"/>
          <c:w val="0.15219903762029746"/>
          <c:h val="0.83681102362204729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Acumulado no ano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Res!$O$80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Res!$B$81:$B$90</c:f>
              <c:strCache>
                <c:ptCount val="4"/>
                <c:pt idx="0">
                  <c:v>Administrativo</c:v>
                </c:pt>
                <c:pt idx="1">
                  <c:v>Manutenção</c:v>
                </c:pt>
                <c:pt idx="2">
                  <c:v>Suprimentos</c:v>
                </c:pt>
                <c:pt idx="3">
                  <c:v>Operação</c:v>
                </c:pt>
              </c:strCache>
            </c:strRef>
          </c:cat>
          <c:val>
            <c:numRef>
              <c:f>Res!$O$81:$O$90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0925349956255466"/>
          <c:y val="0.10591827063283758"/>
          <c:w val="0.17407983377077865"/>
          <c:h val="0.808672353455818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Das!$N$11</c:f>
              <c:strCache>
                <c:ptCount val="1"/>
                <c:pt idx="0">
                  <c:v>Tempo total indisponível</c:v>
                </c:pt>
              </c:strCache>
            </c:strRef>
          </c:tx>
          <c:spPr>
            <a:solidFill>
              <a:srgbClr val="FF2929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Das!$O$10:$Z$10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Das!$O$11:$Z$11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03900800"/>
        <c:axId val="203920128"/>
      </c:barChart>
      <c:catAx>
        <c:axId val="203900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03920128"/>
        <c:crosses val="autoZero"/>
        <c:auto val="1"/>
        <c:lblAlgn val="ctr"/>
        <c:lblOffset val="100"/>
        <c:noMultiLvlLbl val="0"/>
      </c:catAx>
      <c:valAx>
        <c:axId val="203920128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0390080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Das!$N$12</c:f>
              <c:strCache>
                <c:ptCount val="1"/>
                <c:pt idx="0">
                  <c:v>Tempo médio entre falhas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Das!$O$10:$Z$10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Das!$O$12:$Z$12</c:f>
              <c:numCache>
                <c:formatCode>[h]:mm:ss;@</c:formatCode>
                <c:ptCount val="12"/>
                <c:pt idx="0">
                  <c:v>30.736184971159673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203926912"/>
        <c:axId val="203946240"/>
      </c:barChart>
      <c:catAx>
        <c:axId val="203926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03946240"/>
        <c:crosses val="autoZero"/>
        <c:auto val="1"/>
        <c:lblAlgn val="ctr"/>
        <c:lblOffset val="100"/>
        <c:noMultiLvlLbl val="0"/>
      </c:catAx>
      <c:valAx>
        <c:axId val="203946240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20392691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0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Das!$N$13</c:f>
              <c:strCache>
                <c:ptCount val="1"/>
                <c:pt idx="0">
                  <c:v>Tempo médio de reparo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Das!$O$10:$Z$10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Das!$O$13:$Z$13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50140288"/>
        <c:axId val="50155520"/>
      </c:barChart>
      <c:catAx>
        <c:axId val="501402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50155520"/>
        <c:crosses val="autoZero"/>
        <c:auto val="1"/>
        <c:lblAlgn val="ctr"/>
        <c:lblOffset val="100"/>
        <c:noMultiLvlLbl val="0"/>
      </c:catAx>
      <c:valAx>
        <c:axId val="50155520"/>
        <c:scaling>
          <c:orientation val="minMax"/>
        </c:scaling>
        <c:delete val="1"/>
        <c:axPos val="l"/>
        <c:numFmt formatCode="[h]:mm:ss;@" sourceLinked="1"/>
        <c:majorTickMark val="out"/>
        <c:minorTickMark val="none"/>
        <c:tickLblPos val="nextTo"/>
        <c:crossAx val="5014028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Res!$B$25</c:f>
              <c:strCache>
                <c:ptCount val="1"/>
                <c:pt idx="0">
                  <c:v>Câmera offline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Res!$C$25:$N$25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Res!$B$26</c:f>
              <c:strCache>
                <c:ptCount val="1"/>
                <c:pt idx="0">
                  <c:v>Alarme offline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Res!$C$26:$N$26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Res!$B$27</c:f>
              <c:strCache>
                <c:ptCount val="1"/>
                <c:pt idx="0">
                  <c:v>Central de alarme inoperante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Res!$C$27:$N$27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Res!$B$28</c:f>
              <c:strCache>
                <c:ptCount val="1"/>
                <c:pt idx="0">
                  <c:v>DVR offline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Res!$C$28:$N$28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Res!$B$29</c:f>
              <c:strCache>
                <c:ptCount val="1"/>
                <c:pt idx="0">
                  <c:v>Sensores Inoperantes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Res!$C$29:$N$29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Res!$B$30</c:f>
              <c:strCache>
                <c:ptCount val="1"/>
                <c:pt idx="0">
                  <c:v>Servidor offline</c:v>
                </c:pt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Res!$C$30:$N$30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Res!$B$31</c:f>
              <c:strCache>
                <c:ptCount val="1"/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Res!$C$31:$N$31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Res!$B$32</c:f>
              <c:strCache>
                <c:ptCount val="1"/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Res!$C$32:$N$32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Res!$B$33</c:f>
              <c:strCache>
                <c:ptCount val="1"/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Res!$C$33:$N$33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Res!$B$34</c:f>
              <c:strCache>
                <c:ptCount val="1"/>
              </c:strCache>
            </c:strRef>
          </c:tx>
          <c:invertIfNegative val="0"/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Res!$C$34:$N$34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498240"/>
        <c:axId val="205499776"/>
      </c:barChart>
      <c:catAx>
        <c:axId val="20549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5499776"/>
        <c:crosses val="autoZero"/>
        <c:auto val="1"/>
        <c:lblAlgn val="ctr"/>
        <c:lblOffset val="100"/>
        <c:noMultiLvlLbl val="0"/>
      </c:catAx>
      <c:valAx>
        <c:axId val="205499776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2054982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Top 10 falhas mais frequentes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48457608802436"/>
          <c:y val="0.13508253461128863"/>
          <c:w val="0.45762353865802141"/>
          <c:h val="0.82679268725594601"/>
        </c:manualLayout>
      </c:layout>
      <c:doughnutChart>
        <c:varyColors val="1"/>
        <c:ser>
          <c:idx val="0"/>
          <c:order val="0"/>
          <c:tx>
            <c:strRef>
              <c:f>Res!$O$24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Res!$B$25:$B$34</c:f>
              <c:strCache>
                <c:ptCount val="6"/>
                <c:pt idx="0">
                  <c:v>Câmera offline</c:v>
                </c:pt>
                <c:pt idx="1">
                  <c:v>Alarme offline</c:v>
                </c:pt>
                <c:pt idx="2">
                  <c:v>Central de alarme inoperante</c:v>
                </c:pt>
                <c:pt idx="3">
                  <c:v>DVR offline</c:v>
                </c:pt>
                <c:pt idx="4">
                  <c:v>Sensores Inoperantes</c:v>
                </c:pt>
                <c:pt idx="5">
                  <c:v>Servidor offline</c:v>
                </c:pt>
              </c:strCache>
            </c:strRef>
          </c:cat>
          <c:val>
            <c:numRef>
              <c:f>Res!$O$25:$O$34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Top 10 equipamentos com mais falhas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130440121819432"/>
          <c:y val="0.14635339013134543"/>
          <c:w val="0.44826603792121034"/>
          <c:h val="0.80988640397586087"/>
        </c:manualLayout>
      </c:layout>
      <c:doughnutChart>
        <c:varyColors val="1"/>
        <c:ser>
          <c:idx val="0"/>
          <c:order val="0"/>
          <c:tx>
            <c:strRef>
              <c:f>Res!$O$52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Res!$B$53:$B$62</c:f>
              <c:strCache>
                <c:ptCount val="5"/>
                <c:pt idx="0">
                  <c:v>Administrativo - Câmera 1</c:v>
                </c:pt>
                <c:pt idx="1">
                  <c:v>Administrativo - Sensor 1</c:v>
                </c:pt>
                <c:pt idx="2">
                  <c:v>Administrativo - Central de alarme 1</c:v>
                </c:pt>
                <c:pt idx="3">
                  <c:v>Administrativo - Servidor 1</c:v>
                </c:pt>
                <c:pt idx="4">
                  <c:v>Administrativo - DVR 1</c:v>
                </c:pt>
              </c:strCache>
            </c:strRef>
          </c:cat>
          <c:val>
            <c:numRef>
              <c:f>Res!$O$53:$O$62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>
        <c:manualLayout>
          <c:xMode val="edge"/>
          <c:yMode val="edge"/>
          <c:x val="0.65159273995480893"/>
          <c:y val="0.14083111466098688"/>
          <c:w val="0.32969225857156892"/>
          <c:h val="0.8152955271565494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pt-BR" sz="1000" b="0"/>
              <a:t>Top 10 categorias com mais falhas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14839375184202"/>
          <c:y val="0.14635339013134543"/>
          <c:w val="0.45450437174575103"/>
          <c:h val="0.82115725949591767"/>
        </c:manualLayout>
      </c:layout>
      <c:doughnutChart>
        <c:varyColors val="1"/>
        <c:ser>
          <c:idx val="0"/>
          <c:order val="0"/>
          <c:tx>
            <c:strRef>
              <c:f>Das!$O$19</c:f>
              <c:strCache>
                <c:ptCount val="1"/>
                <c:pt idx="0">
                  <c:v>contagem falhas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Das!$N$20:$N$29</c:f>
              <c:strCache>
                <c:ptCount val="5"/>
                <c:pt idx="0">
                  <c:v>Câmera</c:v>
                </c:pt>
                <c:pt idx="1">
                  <c:v>Sensor</c:v>
                </c:pt>
                <c:pt idx="2">
                  <c:v>Central de alarme</c:v>
                </c:pt>
                <c:pt idx="3">
                  <c:v>Servidor</c:v>
                </c:pt>
                <c:pt idx="4">
                  <c:v>DVR</c:v>
                </c:pt>
              </c:strCache>
            </c:strRef>
          </c:cat>
          <c:val>
            <c:numRef>
              <c:f>Das!$O$20:$O$29</c:f>
              <c:numCache>
                <c:formatCode>0</c:formatCode>
                <c:ptCount val="10"/>
                <c:pt idx="0">
                  <c:v>1.0001</c:v>
                </c:pt>
                <c:pt idx="1">
                  <c:v>9.9989999999999996E-5</c:v>
                </c:pt>
                <c:pt idx="2">
                  <c:v>9.9980000000000002E-5</c:v>
                </c:pt>
                <c:pt idx="3">
                  <c:v>9.9969999999999993E-5</c:v>
                </c:pt>
                <c:pt idx="4">
                  <c:v>9.9959999999999998E-5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pt-BR" sz="1000" b="0"/>
              <a:t>Top 10 setores com mais falhas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409347676589056"/>
          <c:y val="0.12944710685126024"/>
          <c:w val="0.46698103939483249"/>
          <c:h val="0.84369897053603127"/>
        </c:manualLayout>
      </c:layout>
      <c:doughnutChart>
        <c:varyColors val="1"/>
        <c:ser>
          <c:idx val="0"/>
          <c:order val="0"/>
          <c:tx>
            <c:strRef>
              <c:f>Res!$O$80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Res!$B$81:$B$90</c:f>
              <c:strCache>
                <c:ptCount val="4"/>
                <c:pt idx="0">
                  <c:v>Administrativo</c:v>
                </c:pt>
                <c:pt idx="1">
                  <c:v>Manutenção</c:v>
                </c:pt>
                <c:pt idx="2">
                  <c:v>Suprimentos</c:v>
                </c:pt>
                <c:pt idx="3">
                  <c:v>Operação</c:v>
                </c:pt>
              </c:strCache>
            </c:strRef>
          </c:cat>
          <c:val>
            <c:numRef>
              <c:f>Res!$O$81:$O$90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>
        <c:manualLayout>
          <c:xMode val="edge"/>
          <c:yMode val="edge"/>
          <c:x val="0.79365777581294827"/>
          <c:y val="0.1115535143769968"/>
          <c:w val="0.19074638962569998"/>
          <c:h val="0.85098287184948529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 por falha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Res!$O$24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Res!$B$25:$B$34</c:f>
              <c:strCache>
                <c:ptCount val="6"/>
                <c:pt idx="0">
                  <c:v>Câmera offline</c:v>
                </c:pt>
                <c:pt idx="1">
                  <c:v>Alarme offline</c:v>
                </c:pt>
                <c:pt idx="2">
                  <c:v>Central de alarme inoperante</c:v>
                </c:pt>
                <c:pt idx="3">
                  <c:v>DVR offline</c:v>
                </c:pt>
                <c:pt idx="4">
                  <c:v>Sensores Inoperantes</c:v>
                </c:pt>
                <c:pt idx="5">
                  <c:v>Servidor offline</c:v>
                </c:pt>
              </c:strCache>
            </c:strRef>
          </c:cat>
          <c:val>
            <c:numRef>
              <c:f>Res!$O$25:$O$34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963115330520395"/>
          <c:y val="0.10591827063283758"/>
          <c:w val="0.19697222222222222"/>
          <c:h val="0.84107976086322545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Res!$B$35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Res!$C$24:$N$24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Res!$C$35:$N$35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763633966244726"/>
          <c:y val="8.3540390784485274E-2"/>
          <c:w val="0.11023997890295359"/>
          <c:h val="0.86731736657917757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Res!$B$39</c:f>
              <c:strCache>
                <c:ptCount val="1"/>
                <c:pt idx="0">
                  <c:v>Administrativo - Câmera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Res!$C$39:$N$39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Res!$B$40</c:f>
              <c:strCache>
                <c:ptCount val="1"/>
                <c:pt idx="0">
                  <c:v>Administrativo - Sensor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Res!$C$40:$N$40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Res!$B$41</c:f>
              <c:strCache>
                <c:ptCount val="1"/>
                <c:pt idx="0">
                  <c:v>Administrativo - Central de alarme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Res!$C$41:$N$41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Res!$B$42</c:f>
              <c:strCache>
                <c:ptCount val="1"/>
                <c:pt idx="0">
                  <c:v>Administrativo - Servidor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Res!$C$42:$N$42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Res!$B$43</c:f>
              <c:strCache>
                <c:ptCount val="1"/>
                <c:pt idx="0">
                  <c:v>Administrativo - DVR 1</c:v>
                </c:pt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Res!$C$43:$N$43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Res!$B$44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Res!$C$44:$N$44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Res!$B$45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Res!$C$45:$N$45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Res!$B$46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Res!$C$46:$N$46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Res!$B$47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Res!$C$47:$N$47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Res!$B$48</c:f>
              <c:strCache>
                <c:ptCount val="1"/>
              </c:strCache>
            </c:strRef>
          </c:tx>
          <c:invertIfNegative val="0"/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Res!$C$48:$N$48</c:f>
              <c:numCache>
                <c:formatCode>[h]:mm:ss;@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05956992"/>
        <c:axId val="205958528"/>
      </c:barChart>
      <c:catAx>
        <c:axId val="2059569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5958528"/>
        <c:crosses val="autoZero"/>
        <c:auto val="1"/>
        <c:lblAlgn val="ctr"/>
        <c:lblOffset val="100"/>
        <c:noMultiLvlLbl val="0"/>
      </c:catAx>
      <c:valAx>
        <c:axId val="205958528"/>
        <c:scaling>
          <c:orientation val="minMax"/>
        </c:scaling>
        <c:delete val="0"/>
        <c:axPos val="l"/>
        <c:majorGridlines/>
        <c:minorGridlines/>
        <c:numFmt formatCode="[h]:mm:ss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059569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Acumulado no ano por equipamento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Res!$O$38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Res!$B$39:$B$48</c:f>
              <c:strCache>
                <c:ptCount val="5"/>
                <c:pt idx="0">
                  <c:v>Administrativo - Câmera 1</c:v>
                </c:pt>
                <c:pt idx="1">
                  <c:v>Administrativo - Sensor 1</c:v>
                </c:pt>
                <c:pt idx="2">
                  <c:v>Administrativo - Central de alarme 1</c:v>
                </c:pt>
                <c:pt idx="3">
                  <c:v>Administrativo - Servidor 1</c:v>
                </c:pt>
                <c:pt idx="4">
                  <c:v>Administrativo - DVR 1</c:v>
                </c:pt>
              </c:strCache>
            </c:strRef>
          </c:cat>
          <c:val>
            <c:numRef>
              <c:f>Res!$O$39:$O$48</c:f>
              <c:numCache>
                <c:formatCode>[h]:mm:ss;@</c:formatCode>
                <c:ptCount val="10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845288326300983"/>
          <c:y val="0.11980715952172648"/>
          <c:w val="0.25815049226441633"/>
          <c:h val="0.82719087197433649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Total mensal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Res!$B$49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Res!$C$38:$N$38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Res!$C$49:$N$49</c:f>
              <c:numCache>
                <c:formatCode>[h]:mm:ss;@</c:formatCode>
                <c:ptCount val="12"/>
                <c:pt idx="0">
                  <c:v>0.26380345476354705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763633966244726"/>
          <c:y val="8.8170020414114897E-2"/>
          <c:w val="0.11023997890295359"/>
          <c:h val="0.86268773694954792"/>
        </c:manualLayout>
      </c:layout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Res!A1"/><Relationship Id="rId3" Type="http://schemas.openxmlformats.org/officeDocument/2006/relationships/hyperlink" Target="#Rel!A1"/><Relationship Id="rId7" Type="http://schemas.openxmlformats.org/officeDocument/2006/relationships/image" Target="../media/image2.jpeg"/><Relationship Id="rId2" Type="http://schemas.openxmlformats.org/officeDocument/2006/relationships/hyperlink" Target="#Lan!A1"/><Relationship Id="rId1" Type="http://schemas.openxmlformats.org/officeDocument/2006/relationships/hyperlink" Target="#CadSet!A1"/><Relationship Id="rId6" Type="http://schemas.openxmlformats.org/officeDocument/2006/relationships/image" Target="../media/image1.png"/><Relationship Id="rId11" Type="http://schemas.openxmlformats.org/officeDocument/2006/relationships/hyperlink" Target="#Sou!A1"/><Relationship Id="rId5" Type="http://schemas.openxmlformats.org/officeDocument/2006/relationships/hyperlink" Target="#Duv!A1"/><Relationship Id="rId10" Type="http://schemas.openxmlformats.org/officeDocument/2006/relationships/hyperlink" Target="#Sug!A1"/><Relationship Id="rId4" Type="http://schemas.openxmlformats.org/officeDocument/2006/relationships/hyperlink" Target="#Ini!A1"/><Relationship Id="rId9" Type="http://schemas.openxmlformats.org/officeDocument/2006/relationships/hyperlink" Target="#Das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Ind!A1"/><Relationship Id="rId2" Type="http://schemas.openxmlformats.org/officeDocument/2006/relationships/hyperlink" Target="#Lan!A1"/><Relationship Id="rId1" Type="http://schemas.openxmlformats.org/officeDocument/2006/relationships/hyperlink" Target="#CadSet!A1"/><Relationship Id="rId6" Type="http://schemas.openxmlformats.org/officeDocument/2006/relationships/hyperlink" Target="#Gra!A1"/><Relationship Id="rId5" Type="http://schemas.openxmlformats.org/officeDocument/2006/relationships/hyperlink" Target="#Res!A1"/><Relationship Id="rId4" Type="http://schemas.openxmlformats.org/officeDocument/2006/relationships/hyperlink" Target="#Ini!A1"/><Relationship Id="rId9" Type="http://schemas.openxmlformats.org/officeDocument/2006/relationships/hyperlink" Target="#Das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CadSet!A1"/><Relationship Id="rId18" Type="http://schemas.openxmlformats.org/officeDocument/2006/relationships/hyperlink" Target="#Gra!A1"/><Relationship Id="rId26" Type="http://schemas.openxmlformats.org/officeDocument/2006/relationships/chart" Target="../charts/chart17.xml"/><Relationship Id="rId3" Type="http://schemas.openxmlformats.org/officeDocument/2006/relationships/chart" Target="../charts/chart3.xml"/><Relationship Id="rId21" Type="http://schemas.openxmlformats.org/officeDocument/2006/relationships/hyperlink" Target="#Das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hyperlink" Target="#Res!A1"/><Relationship Id="rId25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hyperlink" Target="#Ini!A1"/><Relationship Id="rId20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15.xml"/><Relationship Id="rId5" Type="http://schemas.openxmlformats.org/officeDocument/2006/relationships/chart" Target="../charts/chart5.xml"/><Relationship Id="rId15" Type="http://schemas.openxmlformats.org/officeDocument/2006/relationships/hyperlink" Target="#Rel!A1"/><Relationship Id="rId23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hyperlink" Target="#Ind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hyperlink" Target="#Lan!A1"/><Relationship Id="rId22" Type="http://schemas.openxmlformats.org/officeDocument/2006/relationships/chart" Target="../charts/chart13.xml"/><Relationship Id="rId27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Rel!A1"/><Relationship Id="rId7" Type="http://schemas.openxmlformats.org/officeDocument/2006/relationships/hyperlink" Target="#Ind!A1"/><Relationship Id="rId2" Type="http://schemas.openxmlformats.org/officeDocument/2006/relationships/hyperlink" Target="#Lan!A1"/><Relationship Id="rId1" Type="http://schemas.openxmlformats.org/officeDocument/2006/relationships/hyperlink" Target="#CadSet!A1"/><Relationship Id="rId6" Type="http://schemas.openxmlformats.org/officeDocument/2006/relationships/hyperlink" Target="#Gra!A1"/><Relationship Id="rId5" Type="http://schemas.openxmlformats.org/officeDocument/2006/relationships/hyperlink" Target="#Res!A1"/><Relationship Id="rId4" Type="http://schemas.openxmlformats.org/officeDocument/2006/relationships/hyperlink" Target="#Ini!A1"/><Relationship Id="rId9" Type="http://schemas.openxmlformats.org/officeDocument/2006/relationships/hyperlink" Target="#Das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hyperlink" Target="#CadSet!A1"/><Relationship Id="rId18" Type="http://schemas.openxmlformats.org/officeDocument/2006/relationships/hyperlink" Target="#Res!A1"/><Relationship Id="rId3" Type="http://schemas.openxmlformats.org/officeDocument/2006/relationships/chart" Target="../charts/chart21.xml"/><Relationship Id="rId21" Type="http://schemas.openxmlformats.org/officeDocument/2006/relationships/chart" Target="../charts/chart32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image" Target="../media/image2.jpeg"/><Relationship Id="rId25" Type="http://schemas.openxmlformats.org/officeDocument/2006/relationships/chart" Target="../charts/chart36.xml"/><Relationship Id="rId2" Type="http://schemas.openxmlformats.org/officeDocument/2006/relationships/chart" Target="../charts/chart20.xml"/><Relationship Id="rId16" Type="http://schemas.openxmlformats.org/officeDocument/2006/relationships/hyperlink" Target="#Ini!A1"/><Relationship Id="rId20" Type="http://schemas.openxmlformats.org/officeDocument/2006/relationships/chart" Target="../charts/chart31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24" Type="http://schemas.openxmlformats.org/officeDocument/2006/relationships/chart" Target="../charts/chart35.xml"/><Relationship Id="rId5" Type="http://schemas.openxmlformats.org/officeDocument/2006/relationships/chart" Target="../charts/chart23.xml"/><Relationship Id="rId15" Type="http://schemas.openxmlformats.org/officeDocument/2006/relationships/hyperlink" Target="#Rel!A1"/><Relationship Id="rId23" Type="http://schemas.openxmlformats.org/officeDocument/2006/relationships/chart" Target="../charts/chart34.xml"/><Relationship Id="rId10" Type="http://schemas.openxmlformats.org/officeDocument/2006/relationships/chart" Target="../charts/chart28.xml"/><Relationship Id="rId19" Type="http://schemas.openxmlformats.org/officeDocument/2006/relationships/hyperlink" Target="#Das!A1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hyperlink" Target="#Lan!A1"/><Relationship Id="rId22" Type="http://schemas.openxmlformats.org/officeDocument/2006/relationships/chart" Target="../charts/chart33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Lan!A1"/><Relationship Id="rId13" Type="http://schemas.openxmlformats.org/officeDocument/2006/relationships/hyperlink" Target="#Das!A1"/><Relationship Id="rId3" Type="http://schemas.openxmlformats.org/officeDocument/2006/relationships/chart" Target="../charts/chart39.xml"/><Relationship Id="rId7" Type="http://schemas.openxmlformats.org/officeDocument/2006/relationships/hyperlink" Target="#CadSet!A1"/><Relationship Id="rId12" Type="http://schemas.openxmlformats.org/officeDocument/2006/relationships/hyperlink" Target="#Res!A1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image" Target="../media/image2.jpeg"/><Relationship Id="rId5" Type="http://schemas.openxmlformats.org/officeDocument/2006/relationships/chart" Target="../charts/chart41.xml"/><Relationship Id="rId10" Type="http://schemas.openxmlformats.org/officeDocument/2006/relationships/hyperlink" Target="#Ini!A1"/><Relationship Id="rId4" Type="http://schemas.openxmlformats.org/officeDocument/2006/relationships/chart" Target="../charts/chart40.xml"/><Relationship Id="rId9" Type="http://schemas.openxmlformats.org/officeDocument/2006/relationships/hyperlink" Target="#Rel!A1"/><Relationship Id="rId14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Rel!A1"/><Relationship Id="rId7" Type="http://schemas.openxmlformats.org/officeDocument/2006/relationships/hyperlink" Target="#Res!A1"/><Relationship Id="rId2" Type="http://schemas.openxmlformats.org/officeDocument/2006/relationships/hyperlink" Target="#Lan!A1"/><Relationship Id="rId1" Type="http://schemas.openxmlformats.org/officeDocument/2006/relationships/hyperlink" Target="#CadSet!A1"/><Relationship Id="rId6" Type="http://schemas.openxmlformats.org/officeDocument/2006/relationships/image" Target="../media/image2.jpeg"/><Relationship Id="rId5" Type="http://schemas.openxmlformats.org/officeDocument/2006/relationships/hyperlink" Target="#Duv!A1"/><Relationship Id="rId10" Type="http://schemas.openxmlformats.org/officeDocument/2006/relationships/hyperlink" Target="#Sou!A1"/><Relationship Id="rId4" Type="http://schemas.openxmlformats.org/officeDocument/2006/relationships/hyperlink" Target="#Ini!A1"/><Relationship Id="rId9" Type="http://schemas.openxmlformats.org/officeDocument/2006/relationships/hyperlink" Target="#Sug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Ini!A1"/><Relationship Id="rId13" Type="http://schemas.openxmlformats.org/officeDocument/2006/relationships/hyperlink" Target="#Sug!A1"/><Relationship Id="rId3" Type="http://schemas.openxmlformats.org/officeDocument/2006/relationships/hyperlink" Target="https://souza.xyz/produto/pacote-com-todas-as-planilhas-da-souza-promocao-2019/" TargetMode="External"/><Relationship Id="rId7" Type="http://schemas.openxmlformats.org/officeDocument/2006/relationships/hyperlink" Target="#Rel!A1"/><Relationship Id="rId12" Type="http://schemas.openxmlformats.org/officeDocument/2006/relationships/hyperlink" Target="#Das!A1"/><Relationship Id="rId2" Type="http://schemas.openxmlformats.org/officeDocument/2006/relationships/image" Target="../media/image3.jpeg"/><Relationship Id="rId1" Type="http://schemas.openxmlformats.org/officeDocument/2006/relationships/hyperlink" Target="https://souza.xyz/produto/pacote-de-planilhas-de-gestao-de-operacoes/" TargetMode="External"/><Relationship Id="rId6" Type="http://schemas.openxmlformats.org/officeDocument/2006/relationships/hyperlink" Target="#Lan!A1"/><Relationship Id="rId11" Type="http://schemas.openxmlformats.org/officeDocument/2006/relationships/hyperlink" Target="#Res!A1"/><Relationship Id="rId5" Type="http://schemas.openxmlformats.org/officeDocument/2006/relationships/hyperlink" Target="#CadSet!A1"/><Relationship Id="rId10" Type="http://schemas.openxmlformats.org/officeDocument/2006/relationships/image" Target="../media/image2.jpeg"/><Relationship Id="rId4" Type="http://schemas.openxmlformats.org/officeDocument/2006/relationships/image" Target="../media/image4.JPG"/><Relationship Id="rId9" Type="http://schemas.openxmlformats.org/officeDocument/2006/relationships/hyperlink" Target="#Duv!A1"/><Relationship Id="rId14" Type="http://schemas.openxmlformats.org/officeDocument/2006/relationships/hyperlink" Target="#Sou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Rel!A1"/><Relationship Id="rId18" Type="http://schemas.openxmlformats.org/officeDocument/2006/relationships/hyperlink" Target="#Das!A1"/><Relationship Id="rId3" Type="http://schemas.openxmlformats.org/officeDocument/2006/relationships/hyperlink" Target="https://www.instagram.com/souza_sistemas/" TargetMode="External"/><Relationship Id="rId7" Type="http://schemas.openxmlformats.org/officeDocument/2006/relationships/hyperlink" Target="https://www.youtube.com/c/FlavioSouza3350/featured" TargetMode="External"/><Relationship Id="rId12" Type="http://schemas.openxmlformats.org/officeDocument/2006/relationships/hyperlink" Target="#Lan!A1"/><Relationship Id="rId17" Type="http://schemas.openxmlformats.org/officeDocument/2006/relationships/hyperlink" Target="#Res!A1"/><Relationship Id="rId2" Type="http://schemas.openxmlformats.org/officeDocument/2006/relationships/image" Target="../media/image5.png"/><Relationship Id="rId16" Type="http://schemas.openxmlformats.org/officeDocument/2006/relationships/image" Target="../media/image2.jpeg"/><Relationship Id="rId20" Type="http://schemas.openxmlformats.org/officeDocument/2006/relationships/hyperlink" Target="#Sou!A1"/><Relationship Id="rId1" Type="http://schemas.openxmlformats.org/officeDocument/2006/relationships/hyperlink" Target="https://souza.xyz/loja/" TargetMode="External"/><Relationship Id="rId6" Type="http://schemas.openxmlformats.org/officeDocument/2006/relationships/image" Target="../media/image7.png"/><Relationship Id="rId11" Type="http://schemas.openxmlformats.org/officeDocument/2006/relationships/hyperlink" Target="#CadSet!A1"/><Relationship Id="rId5" Type="http://schemas.openxmlformats.org/officeDocument/2006/relationships/hyperlink" Target="https://www.facebook.com/souzasistemas" TargetMode="External"/><Relationship Id="rId15" Type="http://schemas.openxmlformats.org/officeDocument/2006/relationships/hyperlink" Target="#Duv!A1"/><Relationship Id="rId10" Type="http://schemas.openxmlformats.org/officeDocument/2006/relationships/image" Target="../media/image9.png"/><Relationship Id="rId19" Type="http://schemas.openxmlformats.org/officeDocument/2006/relationships/hyperlink" Target="#Sug!A1"/><Relationship Id="rId4" Type="http://schemas.openxmlformats.org/officeDocument/2006/relationships/image" Target="../media/image6.png"/><Relationship Id="rId9" Type="http://schemas.openxmlformats.org/officeDocument/2006/relationships/hyperlink" Target="http://blog.souza.xyz/" TargetMode="External"/><Relationship Id="rId14" Type="http://schemas.openxmlformats.org/officeDocument/2006/relationships/hyperlink" Target="#Ini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CadEqu!A1"/><Relationship Id="rId3" Type="http://schemas.openxmlformats.org/officeDocument/2006/relationships/hyperlink" Target="#Rel!A1"/><Relationship Id="rId7" Type="http://schemas.openxmlformats.org/officeDocument/2006/relationships/hyperlink" Target="#CadCat!A1"/><Relationship Id="rId2" Type="http://schemas.openxmlformats.org/officeDocument/2006/relationships/hyperlink" Target="#Lan!A1"/><Relationship Id="rId1" Type="http://schemas.openxmlformats.org/officeDocument/2006/relationships/hyperlink" Target="#CadSet!A1"/><Relationship Id="rId6" Type="http://schemas.openxmlformats.org/officeDocument/2006/relationships/hyperlink" Target="#Das!A1"/><Relationship Id="rId5" Type="http://schemas.openxmlformats.org/officeDocument/2006/relationships/hyperlink" Target="#Res!A1"/><Relationship Id="rId10" Type="http://schemas.openxmlformats.org/officeDocument/2006/relationships/image" Target="../media/image2.jpeg"/><Relationship Id="rId4" Type="http://schemas.openxmlformats.org/officeDocument/2006/relationships/hyperlink" Target="#Ini!A1"/><Relationship Id="rId9" Type="http://schemas.openxmlformats.org/officeDocument/2006/relationships/hyperlink" Target="#CadFal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CadEqu!A1"/><Relationship Id="rId3" Type="http://schemas.openxmlformats.org/officeDocument/2006/relationships/hyperlink" Target="#Rel!A1"/><Relationship Id="rId7" Type="http://schemas.openxmlformats.org/officeDocument/2006/relationships/hyperlink" Target="#CadCat!A1"/><Relationship Id="rId2" Type="http://schemas.openxmlformats.org/officeDocument/2006/relationships/hyperlink" Target="#Lan!A1"/><Relationship Id="rId1" Type="http://schemas.openxmlformats.org/officeDocument/2006/relationships/hyperlink" Target="#CadSet!A1"/><Relationship Id="rId6" Type="http://schemas.openxmlformats.org/officeDocument/2006/relationships/hyperlink" Target="#Das!A1"/><Relationship Id="rId5" Type="http://schemas.openxmlformats.org/officeDocument/2006/relationships/hyperlink" Target="#Res!A1"/><Relationship Id="rId10" Type="http://schemas.openxmlformats.org/officeDocument/2006/relationships/image" Target="../media/image2.jpeg"/><Relationship Id="rId4" Type="http://schemas.openxmlformats.org/officeDocument/2006/relationships/hyperlink" Target="#Ini!A1"/><Relationship Id="rId9" Type="http://schemas.openxmlformats.org/officeDocument/2006/relationships/hyperlink" Target="#CadFal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CadEqu!A1"/><Relationship Id="rId3" Type="http://schemas.openxmlformats.org/officeDocument/2006/relationships/hyperlink" Target="#Rel!A1"/><Relationship Id="rId7" Type="http://schemas.openxmlformats.org/officeDocument/2006/relationships/hyperlink" Target="#CadCat!A1"/><Relationship Id="rId2" Type="http://schemas.openxmlformats.org/officeDocument/2006/relationships/hyperlink" Target="#Lan!A1"/><Relationship Id="rId1" Type="http://schemas.openxmlformats.org/officeDocument/2006/relationships/hyperlink" Target="#CadSet!A1"/><Relationship Id="rId6" Type="http://schemas.openxmlformats.org/officeDocument/2006/relationships/hyperlink" Target="#Das!A1"/><Relationship Id="rId5" Type="http://schemas.openxmlformats.org/officeDocument/2006/relationships/hyperlink" Target="#Res!A1"/><Relationship Id="rId10" Type="http://schemas.openxmlformats.org/officeDocument/2006/relationships/image" Target="../media/image2.jpeg"/><Relationship Id="rId4" Type="http://schemas.openxmlformats.org/officeDocument/2006/relationships/hyperlink" Target="#Ini!A1"/><Relationship Id="rId9" Type="http://schemas.openxmlformats.org/officeDocument/2006/relationships/hyperlink" Target="#CadFal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CadEqu!A1"/><Relationship Id="rId3" Type="http://schemas.openxmlformats.org/officeDocument/2006/relationships/hyperlink" Target="#Rel!A1"/><Relationship Id="rId7" Type="http://schemas.openxmlformats.org/officeDocument/2006/relationships/hyperlink" Target="#CadCat!A1"/><Relationship Id="rId2" Type="http://schemas.openxmlformats.org/officeDocument/2006/relationships/hyperlink" Target="#Lan!A1"/><Relationship Id="rId1" Type="http://schemas.openxmlformats.org/officeDocument/2006/relationships/hyperlink" Target="#CadSet!A1"/><Relationship Id="rId6" Type="http://schemas.openxmlformats.org/officeDocument/2006/relationships/hyperlink" Target="#Das!A1"/><Relationship Id="rId5" Type="http://schemas.openxmlformats.org/officeDocument/2006/relationships/hyperlink" Target="#Res!A1"/><Relationship Id="rId10" Type="http://schemas.openxmlformats.org/officeDocument/2006/relationships/image" Target="../media/image2.jpeg"/><Relationship Id="rId4" Type="http://schemas.openxmlformats.org/officeDocument/2006/relationships/hyperlink" Target="#Ini!A1"/><Relationship Id="rId9" Type="http://schemas.openxmlformats.org/officeDocument/2006/relationships/hyperlink" Target="#CadF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Rel!A1"/><Relationship Id="rId7" Type="http://schemas.openxmlformats.org/officeDocument/2006/relationships/hyperlink" Target="#Das!A1"/><Relationship Id="rId2" Type="http://schemas.openxmlformats.org/officeDocument/2006/relationships/hyperlink" Target="#Lan!A1"/><Relationship Id="rId1" Type="http://schemas.openxmlformats.org/officeDocument/2006/relationships/hyperlink" Target="#CadSet!A1"/><Relationship Id="rId6" Type="http://schemas.openxmlformats.org/officeDocument/2006/relationships/hyperlink" Target="#Res!A1"/><Relationship Id="rId5" Type="http://schemas.openxmlformats.org/officeDocument/2006/relationships/image" Target="../media/image2.jpeg"/><Relationship Id="rId4" Type="http://schemas.openxmlformats.org/officeDocument/2006/relationships/hyperlink" Target="#Ini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417781</xdr:colOff>
      <xdr:row>0</xdr:row>
      <xdr:rowOff>0</xdr:rowOff>
    </xdr:from>
    <xdr:to>
      <xdr:col>2</xdr:col>
      <xdr:colOff>1481940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2</xdr:col>
      <xdr:colOff>1553106</xdr:colOff>
      <xdr:row>0</xdr:row>
      <xdr:rowOff>0</xdr:rowOff>
    </xdr:from>
    <xdr:to>
      <xdr:col>3</xdr:col>
      <xdr:colOff>211667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81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5</xdr:col>
      <xdr:colOff>171444</xdr:colOff>
      <xdr:row>0</xdr:row>
      <xdr:rowOff>0</xdr:rowOff>
    </xdr:from>
    <xdr:to>
      <xdr:col>6</xdr:col>
      <xdr:colOff>606952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8</xdr:col>
      <xdr:colOff>576252</xdr:colOff>
      <xdr:row>0</xdr:row>
      <xdr:rowOff>0</xdr:rowOff>
    </xdr:from>
    <xdr:to>
      <xdr:col>10</xdr:col>
      <xdr:colOff>430736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902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417778</xdr:colOff>
      <xdr:row>1</xdr:row>
      <xdr:rowOff>57150</xdr:rowOff>
    </xdr:from>
    <xdr:to>
      <xdr:col>2</xdr:col>
      <xdr:colOff>1353778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5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1400176</xdr:colOff>
      <xdr:row>1</xdr:row>
      <xdr:rowOff>57150</xdr:rowOff>
    </xdr:from>
    <xdr:to>
      <xdr:col>2</xdr:col>
      <xdr:colOff>2336176</xdr:colOff>
      <xdr:row>2</xdr:row>
      <xdr:rowOff>38100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51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oneCell">
    <xdr:from>
      <xdr:col>14</xdr:col>
      <xdr:colOff>47625</xdr:colOff>
      <xdr:row>6</xdr:row>
      <xdr:rowOff>95250</xdr:rowOff>
    </xdr:from>
    <xdr:to>
      <xdr:col>14</xdr:col>
      <xdr:colOff>574356</xdr:colOff>
      <xdr:row>6</xdr:row>
      <xdr:rowOff>599250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1812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8</xdr:row>
      <xdr:rowOff>95250</xdr:rowOff>
    </xdr:from>
    <xdr:to>
      <xdr:col>14</xdr:col>
      <xdr:colOff>574356</xdr:colOff>
      <xdr:row>8</xdr:row>
      <xdr:rowOff>599250</xdr:rowOff>
    </xdr:to>
    <xdr:pic>
      <xdr:nvPicPr>
        <xdr:cNvPr id="13" name="Imagem 1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9241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10</xdr:row>
      <xdr:rowOff>95250</xdr:rowOff>
    </xdr:from>
    <xdr:to>
      <xdr:col>14</xdr:col>
      <xdr:colOff>574356</xdr:colOff>
      <xdr:row>10</xdr:row>
      <xdr:rowOff>599250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36671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12</xdr:row>
      <xdr:rowOff>95250</xdr:rowOff>
    </xdr:from>
    <xdr:to>
      <xdr:col>14</xdr:col>
      <xdr:colOff>574356</xdr:colOff>
      <xdr:row>12</xdr:row>
      <xdr:rowOff>599250</xdr:rowOff>
    </xdr:to>
    <xdr:pic>
      <xdr:nvPicPr>
        <xdr:cNvPr id="15" name="Imagem 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44100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14</xdr:row>
      <xdr:rowOff>95250</xdr:rowOff>
    </xdr:from>
    <xdr:to>
      <xdr:col>14</xdr:col>
      <xdr:colOff>574356</xdr:colOff>
      <xdr:row>14</xdr:row>
      <xdr:rowOff>599250</xdr:rowOff>
    </xdr:to>
    <xdr:pic>
      <xdr:nvPicPr>
        <xdr:cNvPr id="16" name="Imagem 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5153025"/>
          <a:ext cx="526731" cy="504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</xdr:colOff>
      <xdr:row>0</xdr:row>
      <xdr:rowOff>0</xdr:rowOff>
    </xdr:from>
    <xdr:to>
      <xdr:col>1</xdr:col>
      <xdr:colOff>762165</xdr:colOff>
      <xdr:row>0</xdr:row>
      <xdr:rowOff>378000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276225</xdr:colOff>
      <xdr:row>0</xdr:row>
      <xdr:rowOff>0</xdr:rowOff>
    </xdr:from>
    <xdr:to>
      <xdr:col>5</xdr:col>
      <xdr:colOff>102133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7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7</xdr:col>
      <xdr:colOff>57150</xdr:colOff>
      <xdr:row>0</xdr:row>
      <xdr:rowOff>0</xdr:rowOff>
    </xdr:from>
    <xdr:to>
      <xdr:col>8</xdr:col>
      <xdr:colOff>492658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200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2390775</xdr:colOff>
      <xdr:row>1</xdr:row>
      <xdr:rowOff>57150</xdr:rowOff>
    </xdr:from>
    <xdr:to>
      <xdr:col>4</xdr:col>
      <xdr:colOff>212100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50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4</xdr:col>
      <xdr:colOff>257175</xdr:colOff>
      <xdr:row>1</xdr:row>
      <xdr:rowOff>57150</xdr:rowOff>
    </xdr:from>
    <xdr:to>
      <xdr:col>5</xdr:col>
      <xdr:colOff>583575</xdr:colOff>
      <xdr:row>2</xdr:row>
      <xdr:rowOff>38100</xdr:rowOff>
    </xdr:to>
    <xdr:sp macro="" textlink="">
      <xdr:nvSpPr>
        <xdr:cNvPr id="20" name="Retângulo 19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05425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208225</xdr:colOff>
      <xdr:row>0</xdr:row>
      <xdr:rowOff>0</xdr:rowOff>
    </xdr:from>
    <xdr:to>
      <xdr:col>3</xdr:col>
      <xdr:colOff>558009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629175</xdr:colOff>
      <xdr:row>0</xdr:row>
      <xdr:rowOff>0</xdr:rowOff>
    </xdr:from>
    <xdr:to>
      <xdr:col>5</xdr:col>
      <xdr:colOff>364061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7</xdr:col>
      <xdr:colOff>114288</xdr:colOff>
      <xdr:row>0</xdr:row>
      <xdr:rowOff>0</xdr:rowOff>
    </xdr:from>
    <xdr:to>
      <xdr:col>8</xdr:col>
      <xdr:colOff>445021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10</xdr:col>
      <xdr:colOff>204771</xdr:colOff>
      <xdr:row>0</xdr:row>
      <xdr:rowOff>0</xdr:rowOff>
    </xdr:from>
    <xdr:to>
      <xdr:col>11</xdr:col>
      <xdr:colOff>564080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208222</xdr:colOff>
      <xdr:row>1</xdr:row>
      <xdr:rowOff>57150</xdr:rowOff>
    </xdr:from>
    <xdr:to>
      <xdr:col>3</xdr:col>
      <xdr:colOff>429847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7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Resultados</a:t>
          </a:r>
        </a:p>
      </xdr:txBody>
    </xdr:sp>
    <xdr:clientData/>
  </xdr:twoCellAnchor>
  <xdr:twoCellAnchor editAs="absolute">
    <xdr:from>
      <xdr:col>3</xdr:col>
      <xdr:colOff>476245</xdr:colOff>
      <xdr:row>1</xdr:row>
      <xdr:rowOff>57150</xdr:rowOff>
    </xdr:from>
    <xdr:to>
      <xdr:col>4</xdr:col>
      <xdr:colOff>697870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5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5</xdr:col>
      <xdr:colOff>28569</xdr:colOff>
      <xdr:row>1</xdr:row>
      <xdr:rowOff>57150</xdr:rowOff>
    </xdr:from>
    <xdr:to>
      <xdr:col>6</xdr:col>
      <xdr:colOff>322194</xdr:colOff>
      <xdr:row>2</xdr:row>
      <xdr:rowOff>38100</xdr:rowOff>
    </xdr:to>
    <xdr:sp macro="" textlink="">
      <xdr:nvSpPr>
        <xdr:cNvPr id="8" name="Retângulo 7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4314819" y="438150"/>
          <a:ext cx="1008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Disponibilidade</a:t>
          </a:r>
        </a:p>
      </xdr:txBody>
    </xdr:sp>
    <xdr:clientData/>
  </xdr:twoCellAnchor>
  <xdr:twoCellAnchor editAs="absolute">
    <xdr:from>
      <xdr:col>0</xdr:col>
      <xdr:colOff>1</xdr:colOff>
      <xdr:row>0</xdr:row>
      <xdr:rowOff>0</xdr:rowOff>
    </xdr:from>
    <xdr:to>
      <xdr:col>1</xdr:col>
      <xdr:colOff>781209</xdr:colOff>
      <xdr:row>0</xdr:row>
      <xdr:rowOff>378000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428619</xdr:colOff>
      <xdr:row>0</xdr:row>
      <xdr:rowOff>0</xdr:rowOff>
    </xdr:from>
    <xdr:to>
      <xdr:col>7</xdr:col>
      <xdr:colOff>44977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8</xdr:col>
      <xdr:colOff>504819</xdr:colOff>
      <xdr:row>0</xdr:row>
      <xdr:rowOff>0</xdr:rowOff>
    </xdr:from>
    <xdr:to>
      <xdr:col>10</xdr:col>
      <xdr:colOff>121177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50250</xdr:colOff>
      <xdr:row>8</xdr:row>
      <xdr:rowOff>47625</xdr:rowOff>
    </xdr:from>
    <xdr:to>
      <xdr:col>19</xdr:col>
      <xdr:colOff>525450</xdr:colOff>
      <xdr:row>22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323850</xdr:colOff>
      <xdr:row>23</xdr:row>
      <xdr:rowOff>19050</xdr:rowOff>
    </xdr:from>
    <xdr:to>
      <xdr:col>19</xdr:col>
      <xdr:colOff>525450</xdr:colOff>
      <xdr:row>37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57150</xdr:colOff>
      <xdr:row>23</xdr:row>
      <xdr:rowOff>19050</xdr:rowOff>
    </xdr:from>
    <xdr:to>
      <xdr:col>10</xdr:col>
      <xdr:colOff>258750</xdr:colOff>
      <xdr:row>37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50250</xdr:colOff>
      <xdr:row>39</xdr:row>
      <xdr:rowOff>66675</xdr:rowOff>
    </xdr:from>
    <xdr:to>
      <xdr:col>19</xdr:col>
      <xdr:colOff>525450</xdr:colOff>
      <xdr:row>53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323850</xdr:colOff>
      <xdr:row>54</xdr:row>
      <xdr:rowOff>9525</xdr:rowOff>
    </xdr:from>
    <xdr:to>
      <xdr:col>19</xdr:col>
      <xdr:colOff>525450</xdr:colOff>
      <xdr:row>68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50250</xdr:colOff>
      <xdr:row>54</xdr:row>
      <xdr:rowOff>9525</xdr:rowOff>
    </xdr:from>
    <xdr:to>
      <xdr:col>10</xdr:col>
      <xdr:colOff>251850</xdr:colOff>
      <xdr:row>68</xdr:row>
      <xdr:rowOff>85725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50250</xdr:colOff>
      <xdr:row>71</xdr:row>
      <xdr:rowOff>38100</xdr:rowOff>
    </xdr:from>
    <xdr:to>
      <xdr:col>19</xdr:col>
      <xdr:colOff>525450</xdr:colOff>
      <xdr:row>85</xdr:row>
      <xdr:rowOff>114300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323850</xdr:colOff>
      <xdr:row>85</xdr:row>
      <xdr:rowOff>161925</xdr:rowOff>
    </xdr:from>
    <xdr:to>
      <xdr:col>19</xdr:col>
      <xdr:colOff>525450</xdr:colOff>
      <xdr:row>100</xdr:row>
      <xdr:rowOff>47625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50250</xdr:colOff>
      <xdr:row>85</xdr:row>
      <xdr:rowOff>161925</xdr:rowOff>
    </xdr:from>
    <xdr:to>
      <xdr:col>10</xdr:col>
      <xdr:colOff>251850</xdr:colOff>
      <xdr:row>100</xdr:row>
      <xdr:rowOff>47625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50250</xdr:colOff>
      <xdr:row>102</xdr:row>
      <xdr:rowOff>57150</xdr:rowOff>
    </xdr:from>
    <xdr:to>
      <xdr:col>19</xdr:col>
      <xdr:colOff>525450</xdr:colOff>
      <xdr:row>116</xdr:row>
      <xdr:rowOff>133350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323850</xdr:colOff>
      <xdr:row>117</xdr:row>
      <xdr:rowOff>9525</xdr:rowOff>
    </xdr:from>
    <xdr:to>
      <xdr:col>19</xdr:col>
      <xdr:colOff>525450</xdr:colOff>
      <xdr:row>131</xdr:row>
      <xdr:rowOff>85725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</xdr:col>
      <xdr:colOff>50250</xdr:colOff>
      <xdr:row>117</xdr:row>
      <xdr:rowOff>9525</xdr:rowOff>
    </xdr:from>
    <xdr:to>
      <xdr:col>10</xdr:col>
      <xdr:colOff>251850</xdr:colOff>
      <xdr:row>131</xdr:row>
      <xdr:rowOff>85725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4</xdr:col>
      <xdr:colOff>341575</xdr:colOff>
      <xdr:row>0</xdr:row>
      <xdr:rowOff>0</xdr:rowOff>
    </xdr:from>
    <xdr:to>
      <xdr:col>6</xdr:col>
      <xdr:colOff>186534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6</xdr:col>
      <xdr:colOff>257700</xdr:colOff>
      <xdr:row>0</xdr:row>
      <xdr:rowOff>0</xdr:rowOff>
    </xdr:from>
    <xdr:to>
      <xdr:col>8</xdr:col>
      <xdr:colOff>202136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10</xdr:col>
      <xdr:colOff>161913</xdr:colOff>
      <xdr:row>0</xdr:row>
      <xdr:rowOff>0</xdr:rowOff>
    </xdr:from>
    <xdr:to>
      <xdr:col>11</xdr:col>
      <xdr:colOff>597421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13</xdr:col>
      <xdr:colOff>566721</xdr:colOff>
      <xdr:row>0</xdr:row>
      <xdr:rowOff>0</xdr:rowOff>
    </xdr:from>
    <xdr:to>
      <xdr:col>15</xdr:col>
      <xdr:colOff>421205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4</xdr:col>
      <xdr:colOff>341572</xdr:colOff>
      <xdr:row>1</xdr:row>
      <xdr:rowOff>57150</xdr:rowOff>
    </xdr:from>
    <xdr:to>
      <xdr:col>6</xdr:col>
      <xdr:colOff>58372</xdr:colOff>
      <xdr:row>2</xdr:row>
      <xdr:rowOff>38100</xdr:rowOff>
    </xdr:to>
    <xdr:sp macro="" textlink="">
      <xdr:nvSpPr>
        <xdr:cNvPr id="18" name="Retângulo 17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7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6</xdr:col>
      <xdr:colOff>104770</xdr:colOff>
      <xdr:row>1</xdr:row>
      <xdr:rowOff>57150</xdr:rowOff>
    </xdr:from>
    <xdr:to>
      <xdr:col>7</xdr:col>
      <xdr:colOff>431170</xdr:colOff>
      <xdr:row>2</xdr:row>
      <xdr:rowOff>38100</xdr:rowOff>
    </xdr:to>
    <xdr:sp macro="" textlink="">
      <xdr:nvSpPr>
        <xdr:cNvPr id="19" name="Retângulo 18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5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 editAs="absolute">
    <xdr:from>
      <xdr:col>7</xdr:col>
      <xdr:colOff>476244</xdr:colOff>
      <xdr:row>1</xdr:row>
      <xdr:rowOff>57150</xdr:rowOff>
    </xdr:from>
    <xdr:to>
      <xdr:col>9</xdr:col>
      <xdr:colOff>265044</xdr:colOff>
      <xdr:row>2</xdr:row>
      <xdr:rowOff>38100</xdr:rowOff>
    </xdr:to>
    <xdr:sp macro="" textlink="">
      <xdr:nvSpPr>
        <xdr:cNvPr id="20" name="Retângulo 19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4314819" y="438150"/>
          <a:ext cx="1008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Disponibilidade</a:t>
          </a:r>
        </a:p>
      </xdr:txBody>
    </xdr:sp>
    <xdr:clientData/>
  </xdr:twoCellAnchor>
  <xdr:twoCellAnchor editAs="absolute">
    <xdr:from>
      <xdr:col>0</xdr:col>
      <xdr:colOff>1</xdr:colOff>
      <xdr:row>0</xdr:row>
      <xdr:rowOff>0</xdr:rowOff>
    </xdr:from>
    <xdr:to>
      <xdr:col>2</xdr:col>
      <xdr:colOff>171609</xdr:colOff>
      <xdr:row>0</xdr:row>
      <xdr:rowOff>378000</xdr:rowOff>
    </xdr:to>
    <xdr:pic>
      <xdr:nvPicPr>
        <xdr:cNvPr id="21" name="Imagem 2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8</xdr:col>
      <xdr:colOff>266694</xdr:colOff>
      <xdr:row>0</xdr:row>
      <xdr:rowOff>0</xdr:rowOff>
    </xdr:from>
    <xdr:to>
      <xdr:col>10</xdr:col>
      <xdr:colOff>92602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12</xdr:col>
      <xdr:colOff>47619</xdr:colOff>
      <xdr:row>0</xdr:row>
      <xdr:rowOff>0</xdr:rowOff>
    </xdr:from>
    <xdr:to>
      <xdr:col>13</xdr:col>
      <xdr:colOff>483127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>
    <xdr:from>
      <xdr:col>1</xdr:col>
      <xdr:colOff>50250</xdr:colOff>
      <xdr:row>133</xdr:row>
      <xdr:rowOff>57150</xdr:rowOff>
    </xdr:from>
    <xdr:to>
      <xdr:col>19</xdr:col>
      <xdr:colOff>525450</xdr:colOff>
      <xdr:row>147</xdr:row>
      <xdr:rowOff>133350</xdr:rowOff>
    </xdr:to>
    <xdr:graphicFrame macro="">
      <xdr:nvGraphicFramePr>
        <xdr:cNvPr id="24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50250</xdr:colOff>
      <xdr:row>148</xdr:row>
      <xdr:rowOff>28575</xdr:rowOff>
    </xdr:from>
    <xdr:to>
      <xdr:col>10</xdr:col>
      <xdr:colOff>251850</xdr:colOff>
      <xdr:row>162</xdr:row>
      <xdr:rowOff>104775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323850</xdr:colOff>
      <xdr:row>148</xdr:row>
      <xdr:rowOff>19050</xdr:rowOff>
    </xdr:from>
    <xdr:to>
      <xdr:col>19</xdr:col>
      <xdr:colOff>525450</xdr:colOff>
      <xdr:row>162</xdr:row>
      <xdr:rowOff>95250</xdr:rowOff>
    </xdr:to>
    <xdr:graphicFrame macro="">
      <xdr:nvGraphicFramePr>
        <xdr:cNvPr id="26" name="Grá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50250</xdr:colOff>
      <xdr:row>164</xdr:row>
      <xdr:rowOff>66675</xdr:rowOff>
    </xdr:from>
    <xdr:to>
      <xdr:col>19</xdr:col>
      <xdr:colOff>525450</xdr:colOff>
      <xdr:row>178</xdr:row>
      <xdr:rowOff>142875</xdr:rowOff>
    </xdr:to>
    <xdr:graphicFrame macro="">
      <xdr:nvGraphicFramePr>
        <xdr:cNvPr id="27" name="Grá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50250</xdr:colOff>
      <xdr:row>179</xdr:row>
      <xdr:rowOff>28575</xdr:rowOff>
    </xdr:from>
    <xdr:to>
      <xdr:col>10</xdr:col>
      <xdr:colOff>251850</xdr:colOff>
      <xdr:row>193</xdr:row>
      <xdr:rowOff>104775</xdr:rowOff>
    </xdr:to>
    <xdr:graphicFrame macro="">
      <xdr:nvGraphicFramePr>
        <xdr:cNvPr id="28" name="Grá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323850</xdr:colOff>
      <xdr:row>179</xdr:row>
      <xdr:rowOff>28575</xdr:rowOff>
    </xdr:from>
    <xdr:to>
      <xdr:col>19</xdr:col>
      <xdr:colOff>525450</xdr:colOff>
      <xdr:row>193</xdr:row>
      <xdr:rowOff>104775</xdr:rowOff>
    </xdr:to>
    <xdr:graphicFrame macro="">
      <xdr:nvGraphicFramePr>
        <xdr:cNvPr id="29" name="Grá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1789375</xdr:colOff>
      <xdr:row>0</xdr:row>
      <xdr:rowOff>0</xdr:rowOff>
    </xdr:from>
    <xdr:to>
      <xdr:col>3</xdr:col>
      <xdr:colOff>872334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943500</xdr:colOff>
      <xdr:row>0</xdr:row>
      <xdr:rowOff>0</xdr:rowOff>
    </xdr:from>
    <xdr:to>
      <xdr:col>4</xdr:col>
      <xdr:colOff>926036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5</xdr:col>
      <xdr:colOff>923913</xdr:colOff>
      <xdr:row>0</xdr:row>
      <xdr:rowOff>0</xdr:rowOff>
    </xdr:from>
    <xdr:to>
      <xdr:col>6</xdr:col>
      <xdr:colOff>787921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7</xdr:col>
      <xdr:colOff>795321</xdr:colOff>
      <xdr:row>0</xdr:row>
      <xdr:rowOff>0</xdr:rowOff>
    </xdr:from>
    <xdr:to>
      <xdr:col>8</xdr:col>
      <xdr:colOff>687905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1789372</xdr:colOff>
      <xdr:row>1</xdr:row>
      <xdr:rowOff>57150</xdr:rowOff>
    </xdr:from>
    <xdr:to>
      <xdr:col>3</xdr:col>
      <xdr:colOff>744172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7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3</xdr:col>
      <xdr:colOff>790570</xdr:colOff>
      <xdr:row>1</xdr:row>
      <xdr:rowOff>57150</xdr:rowOff>
    </xdr:from>
    <xdr:to>
      <xdr:col>4</xdr:col>
      <xdr:colOff>545470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5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Gráficos</a:t>
          </a:r>
        </a:p>
      </xdr:txBody>
    </xdr:sp>
    <xdr:clientData/>
  </xdr:twoCellAnchor>
  <xdr:twoCellAnchor editAs="absolute">
    <xdr:from>
      <xdr:col>4</xdr:col>
      <xdr:colOff>590544</xdr:colOff>
      <xdr:row>1</xdr:row>
      <xdr:rowOff>57150</xdr:rowOff>
    </xdr:from>
    <xdr:to>
      <xdr:col>5</xdr:col>
      <xdr:colOff>453444</xdr:colOff>
      <xdr:row>2</xdr:row>
      <xdr:rowOff>38100</xdr:rowOff>
    </xdr:to>
    <xdr:sp macro="" textlink="">
      <xdr:nvSpPr>
        <xdr:cNvPr id="8" name="Retângulo 7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4314819" y="438150"/>
          <a:ext cx="1044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Disponibilidade</a:t>
          </a:r>
        </a:p>
      </xdr:txBody>
    </xdr:sp>
    <xdr:clientData/>
  </xdr:twoCellAnchor>
  <xdr:twoCellAnchor editAs="absolute">
    <xdr:from>
      <xdr:col>0</xdr:col>
      <xdr:colOff>1</xdr:colOff>
      <xdr:row>0</xdr:row>
      <xdr:rowOff>0</xdr:rowOff>
    </xdr:from>
    <xdr:to>
      <xdr:col>2</xdr:col>
      <xdr:colOff>400209</xdr:colOff>
      <xdr:row>0</xdr:row>
      <xdr:rowOff>378000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4</xdr:col>
      <xdr:colOff>990594</xdr:colOff>
      <xdr:row>0</xdr:row>
      <xdr:rowOff>0</xdr:rowOff>
    </xdr:from>
    <xdr:to>
      <xdr:col>5</xdr:col>
      <xdr:colOff>854602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6</xdr:col>
      <xdr:colOff>847719</xdr:colOff>
      <xdr:row>0</xdr:row>
      <xdr:rowOff>0</xdr:rowOff>
    </xdr:from>
    <xdr:to>
      <xdr:col>7</xdr:col>
      <xdr:colOff>711727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35</xdr:row>
      <xdr:rowOff>66675</xdr:rowOff>
    </xdr:from>
    <xdr:to>
      <xdr:col>14</xdr:col>
      <xdr:colOff>695325</xdr:colOff>
      <xdr:row>49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310350</xdr:colOff>
      <xdr:row>50</xdr:row>
      <xdr:rowOff>9525</xdr:rowOff>
    </xdr:from>
    <xdr:to>
      <xdr:col>14</xdr:col>
      <xdr:colOff>695325</xdr:colOff>
      <xdr:row>64</xdr:row>
      <xdr:rowOff>85725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</xdr:colOff>
      <xdr:row>50</xdr:row>
      <xdr:rowOff>9525</xdr:rowOff>
    </xdr:from>
    <xdr:to>
      <xdr:col>7</xdr:col>
      <xdr:colOff>299250</xdr:colOff>
      <xdr:row>64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28575</xdr:colOff>
      <xdr:row>78</xdr:row>
      <xdr:rowOff>38100</xdr:rowOff>
    </xdr:from>
    <xdr:to>
      <xdr:col>14</xdr:col>
      <xdr:colOff>685500</xdr:colOff>
      <xdr:row>92</xdr:row>
      <xdr:rowOff>114300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300525</xdr:colOff>
      <xdr:row>92</xdr:row>
      <xdr:rowOff>152400</xdr:rowOff>
    </xdr:from>
    <xdr:to>
      <xdr:col>14</xdr:col>
      <xdr:colOff>685500</xdr:colOff>
      <xdr:row>107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28575</xdr:colOff>
      <xdr:row>92</xdr:row>
      <xdr:rowOff>152400</xdr:rowOff>
    </xdr:from>
    <xdr:to>
      <xdr:col>7</xdr:col>
      <xdr:colOff>289725</xdr:colOff>
      <xdr:row>107</xdr:row>
      <xdr:rowOff>38100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19050</xdr:colOff>
      <xdr:row>121</xdr:row>
      <xdr:rowOff>66675</xdr:rowOff>
    </xdr:from>
    <xdr:to>
      <xdr:col>14</xdr:col>
      <xdr:colOff>675975</xdr:colOff>
      <xdr:row>135</xdr:row>
      <xdr:rowOff>142875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291000</xdr:colOff>
      <xdr:row>136</xdr:row>
      <xdr:rowOff>0</xdr:rowOff>
    </xdr:from>
    <xdr:to>
      <xdr:col>14</xdr:col>
      <xdr:colOff>675975</xdr:colOff>
      <xdr:row>150</xdr:row>
      <xdr:rowOff>76200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19050</xdr:colOff>
      <xdr:row>136</xdr:row>
      <xdr:rowOff>0</xdr:rowOff>
    </xdr:from>
    <xdr:to>
      <xdr:col>7</xdr:col>
      <xdr:colOff>280200</xdr:colOff>
      <xdr:row>150</xdr:row>
      <xdr:rowOff>76200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28575</xdr:colOff>
      <xdr:row>164</xdr:row>
      <xdr:rowOff>66675</xdr:rowOff>
    </xdr:from>
    <xdr:to>
      <xdr:col>14</xdr:col>
      <xdr:colOff>685500</xdr:colOff>
      <xdr:row>178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300525</xdr:colOff>
      <xdr:row>179</xdr:row>
      <xdr:rowOff>19050</xdr:rowOff>
    </xdr:from>
    <xdr:to>
      <xdr:col>14</xdr:col>
      <xdr:colOff>685500</xdr:colOff>
      <xdr:row>193</xdr:row>
      <xdr:rowOff>95250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</xdr:col>
      <xdr:colOff>28575</xdr:colOff>
      <xdr:row>179</xdr:row>
      <xdr:rowOff>19050</xdr:rowOff>
    </xdr:from>
    <xdr:to>
      <xdr:col>7</xdr:col>
      <xdr:colOff>289725</xdr:colOff>
      <xdr:row>193</xdr:row>
      <xdr:rowOff>95250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2</xdr:col>
      <xdr:colOff>617800</xdr:colOff>
      <xdr:row>0</xdr:row>
      <xdr:rowOff>0</xdr:rowOff>
    </xdr:from>
    <xdr:to>
      <xdr:col>4</xdr:col>
      <xdr:colOff>253209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4</xdr:col>
      <xdr:colOff>324375</xdr:colOff>
      <xdr:row>0</xdr:row>
      <xdr:rowOff>0</xdr:rowOff>
    </xdr:from>
    <xdr:to>
      <xdr:col>6</xdr:col>
      <xdr:colOff>59261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7</xdr:col>
      <xdr:colOff>523863</xdr:colOff>
      <xdr:row>0</xdr:row>
      <xdr:rowOff>0</xdr:rowOff>
    </xdr:from>
    <xdr:to>
      <xdr:col>9</xdr:col>
      <xdr:colOff>140221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10</xdr:col>
      <xdr:colOff>614346</xdr:colOff>
      <xdr:row>0</xdr:row>
      <xdr:rowOff>0</xdr:rowOff>
    </xdr:from>
    <xdr:to>
      <xdr:col>12</xdr:col>
      <xdr:colOff>259280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1</xdr:colOff>
      <xdr:row>0</xdr:row>
      <xdr:rowOff>0</xdr:rowOff>
    </xdr:from>
    <xdr:to>
      <xdr:col>1</xdr:col>
      <xdr:colOff>781209</xdr:colOff>
      <xdr:row>0</xdr:row>
      <xdr:rowOff>378000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123819</xdr:colOff>
      <xdr:row>0</xdr:row>
      <xdr:rowOff>0</xdr:rowOff>
    </xdr:from>
    <xdr:to>
      <xdr:col>7</xdr:col>
      <xdr:colOff>454552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9</xdr:col>
      <xdr:colOff>200019</xdr:colOff>
      <xdr:row>0</xdr:row>
      <xdr:rowOff>0</xdr:rowOff>
    </xdr:from>
    <xdr:to>
      <xdr:col>10</xdr:col>
      <xdr:colOff>530752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>
    <xdr:from>
      <xdr:col>1</xdr:col>
      <xdr:colOff>28575</xdr:colOff>
      <xdr:row>207</xdr:row>
      <xdr:rowOff>76200</xdr:rowOff>
    </xdr:from>
    <xdr:to>
      <xdr:col>14</xdr:col>
      <xdr:colOff>685500</xdr:colOff>
      <xdr:row>221</xdr:row>
      <xdr:rowOff>152400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28575</xdr:colOff>
      <xdr:row>222</xdr:row>
      <xdr:rowOff>9525</xdr:rowOff>
    </xdr:from>
    <xdr:to>
      <xdr:col>7</xdr:col>
      <xdr:colOff>289725</xdr:colOff>
      <xdr:row>236</xdr:row>
      <xdr:rowOff>85725</xdr:rowOff>
    </xdr:to>
    <xdr:graphicFrame macro="">
      <xdr:nvGraphicFramePr>
        <xdr:cNvPr id="22" name="Grá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300525</xdr:colOff>
      <xdr:row>222</xdr:row>
      <xdr:rowOff>9525</xdr:rowOff>
    </xdr:from>
    <xdr:to>
      <xdr:col>14</xdr:col>
      <xdr:colOff>685500</xdr:colOff>
      <xdr:row>236</xdr:row>
      <xdr:rowOff>85725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28575</xdr:colOff>
      <xdr:row>250</xdr:row>
      <xdr:rowOff>57150</xdr:rowOff>
    </xdr:from>
    <xdr:to>
      <xdr:col>14</xdr:col>
      <xdr:colOff>685500</xdr:colOff>
      <xdr:row>264</xdr:row>
      <xdr:rowOff>133350</xdr:rowOff>
    </xdr:to>
    <xdr:graphicFrame macro="">
      <xdr:nvGraphicFramePr>
        <xdr:cNvPr id="24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28575</xdr:colOff>
      <xdr:row>265</xdr:row>
      <xdr:rowOff>0</xdr:rowOff>
    </xdr:from>
    <xdr:to>
      <xdr:col>7</xdr:col>
      <xdr:colOff>289725</xdr:colOff>
      <xdr:row>279</xdr:row>
      <xdr:rowOff>76200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300525</xdr:colOff>
      <xdr:row>265</xdr:row>
      <xdr:rowOff>0</xdr:rowOff>
    </xdr:from>
    <xdr:to>
      <xdr:col>14</xdr:col>
      <xdr:colOff>685500</xdr:colOff>
      <xdr:row>279</xdr:row>
      <xdr:rowOff>76200</xdr:rowOff>
    </xdr:to>
    <xdr:graphicFrame macro="">
      <xdr:nvGraphicFramePr>
        <xdr:cNvPr id="26" name="Gráfico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5</xdr:row>
      <xdr:rowOff>47625</xdr:rowOff>
    </xdr:from>
    <xdr:to>
      <xdr:col>12</xdr:col>
      <xdr:colOff>4425</xdr:colOff>
      <xdr:row>13</xdr:row>
      <xdr:rowOff>24825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85725</xdr:colOff>
      <xdr:row>13</xdr:row>
      <xdr:rowOff>57150</xdr:rowOff>
    </xdr:from>
    <xdr:to>
      <xdr:col>12</xdr:col>
      <xdr:colOff>4425</xdr:colOff>
      <xdr:row>21</xdr:row>
      <xdr:rowOff>34350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85725</xdr:colOff>
      <xdr:row>21</xdr:row>
      <xdr:rowOff>66675</xdr:rowOff>
    </xdr:from>
    <xdr:to>
      <xdr:col>12</xdr:col>
      <xdr:colOff>4425</xdr:colOff>
      <xdr:row>29</xdr:row>
      <xdr:rowOff>43875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180974</xdr:colOff>
      <xdr:row>17</xdr:row>
      <xdr:rowOff>57150</xdr:rowOff>
    </xdr:from>
    <xdr:to>
      <xdr:col>4</xdr:col>
      <xdr:colOff>99674</xdr:colOff>
      <xdr:row>29</xdr:row>
      <xdr:rowOff>24750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180974</xdr:colOff>
      <xdr:row>5</xdr:row>
      <xdr:rowOff>38100</xdr:rowOff>
    </xdr:from>
    <xdr:to>
      <xdr:col>4</xdr:col>
      <xdr:colOff>99674</xdr:colOff>
      <xdr:row>17</xdr:row>
      <xdr:rowOff>5700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133350</xdr:colOff>
      <xdr:row>17</xdr:row>
      <xdr:rowOff>66675</xdr:rowOff>
    </xdr:from>
    <xdr:to>
      <xdr:col>8</xdr:col>
      <xdr:colOff>52050</xdr:colOff>
      <xdr:row>29</xdr:row>
      <xdr:rowOff>34275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3</xdr:col>
      <xdr:colOff>93925</xdr:colOff>
      <xdr:row>0</xdr:row>
      <xdr:rowOff>0</xdr:rowOff>
    </xdr:from>
    <xdr:to>
      <xdr:col>3</xdr:col>
      <xdr:colOff>1158084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1229250</xdr:colOff>
      <xdr:row>0</xdr:row>
      <xdr:rowOff>0</xdr:rowOff>
    </xdr:from>
    <xdr:to>
      <xdr:col>5</xdr:col>
      <xdr:colOff>316436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5</xdr:col>
      <xdr:colOff>1495413</xdr:colOff>
      <xdr:row>0</xdr:row>
      <xdr:rowOff>0</xdr:rowOff>
    </xdr:from>
    <xdr:to>
      <xdr:col>7</xdr:col>
      <xdr:colOff>464071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7</xdr:col>
      <xdr:colOff>1652571</xdr:colOff>
      <xdr:row>0</xdr:row>
      <xdr:rowOff>0</xdr:rowOff>
    </xdr:from>
    <xdr:to>
      <xdr:col>9</xdr:col>
      <xdr:colOff>649805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1</xdr:colOff>
      <xdr:row>0</xdr:row>
      <xdr:rowOff>0</xdr:rowOff>
    </xdr:from>
    <xdr:to>
      <xdr:col>1</xdr:col>
      <xdr:colOff>781209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380994</xdr:colOff>
      <xdr:row>0</xdr:row>
      <xdr:rowOff>0</xdr:rowOff>
    </xdr:from>
    <xdr:to>
      <xdr:col>5</xdr:col>
      <xdr:colOff>1426102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7</xdr:col>
      <xdr:colOff>523869</xdr:colOff>
      <xdr:row>0</xdr:row>
      <xdr:rowOff>0</xdr:rowOff>
    </xdr:from>
    <xdr:to>
      <xdr:col>7</xdr:col>
      <xdr:colOff>1568977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oneCell">
    <xdr:from>
      <xdr:col>4</xdr:col>
      <xdr:colOff>133350</xdr:colOff>
      <xdr:row>5</xdr:row>
      <xdr:rowOff>38100</xdr:rowOff>
    </xdr:from>
    <xdr:to>
      <xdr:col>8</xdr:col>
      <xdr:colOff>52050</xdr:colOff>
      <xdr:row>17</xdr:row>
      <xdr:rowOff>5700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2170374</xdr:colOff>
      <xdr:row>0</xdr:row>
      <xdr:rowOff>0</xdr:rowOff>
    </xdr:from>
    <xdr:to>
      <xdr:col>1</xdr:col>
      <xdr:colOff>3234533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1</xdr:col>
      <xdr:colOff>3305699</xdr:colOff>
      <xdr:row>0</xdr:row>
      <xdr:rowOff>0</xdr:rowOff>
    </xdr:from>
    <xdr:to>
      <xdr:col>1</xdr:col>
      <xdr:colOff>4469335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</xdr:col>
      <xdr:colOff>5648312</xdr:colOff>
      <xdr:row>0</xdr:row>
      <xdr:rowOff>0</xdr:rowOff>
    </xdr:from>
    <xdr:to>
      <xdr:col>3</xdr:col>
      <xdr:colOff>749820</xdr:colOff>
      <xdr:row>1</xdr:row>
      <xdr:rowOff>15000</xdr:rowOff>
    </xdr:to>
    <xdr:sp macro="" textlink="">
      <xdr:nvSpPr>
        <xdr:cNvPr id="19" name="Retângulo 1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3</xdr:col>
      <xdr:colOff>1938320</xdr:colOff>
      <xdr:row>0</xdr:row>
      <xdr:rowOff>0</xdr:rowOff>
    </xdr:from>
    <xdr:to>
      <xdr:col>3</xdr:col>
      <xdr:colOff>3012004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1</xdr:col>
      <xdr:colOff>2170371</xdr:colOff>
      <xdr:row>1</xdr:row>
      <xdr:rowOff>57150</xdr:rowOff>
    </xdr:from>
    <xdr:to>
      <xdr:col>1</xdr:col>
      <xdr:colOff>3106371</xdr:colOff>
      <xdr:row>2</xdr:row>
      <xdr:rowOff>38100</xdr:rowOff>
    </xdr:to>
    <xdr:sp macro="" textlink="">
      <xdr:nvSpPr>
        <xdr:cNvPr id="24" name="Retângulo 23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3152769</xdr:colOff>
      <xdr:row>1</xdr:row>
      <xdr:rowOff>57150</xdr:rowOff>
    </xdr:from>
    <xdr:to>
      <xdr:col>1</xdr:col>
      <xdr:colOff>4088769</xdr:colOff>
      <xdr:row>2</xdr:row>
      <xdr:rowOff>38100</xdr:rowOff>
    </xdr:to>
    <xdr:sp macro="" textlink="">
      <xdr:nvSpPr>
        <xdr:cNvPr id="25" name="Retângulo 2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1</xdr:col>
      <xdr:colOff>4533893</xdr:colOff>
      <xdr:row>0</xdr:row>
      <xdr:rowOff>0</xdr:rowOff>
    </xdr:from>
    <xdr:to>
      <xdr:col>1</xdr:col>
      <xdr:colOff>5579001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3</xdr:col>
      <xdr:colOff>809618</xdr:colOff>
      <xdr:row>0</xdr:row>
      <xdr:rowOff>0</xdr:rowOff>
    </xdr:from>
    <xdr:to>
      <xdr:col>3</xdr:col>
      <xdr:colOff>1854726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1</xdr:col>
      <xdr:colOff>4143368</xdr:colOff>
      <xdr:row>1</xdr:row>
      <xdr:rowOff>57150</xdr:rowOff>
    </xdr:from>
    <xdr:to>
      <xdr:col>1</xdr:col>
      <xdr:colOff>5079368</xdr:colOff>
      <xdr:row>2</xdr:row>
      <xdr:rowOff>38100</xdr:rowOff>
    </xdr:to>
    <xdr:sp macro="" textlink="">
      <xdr:nvSpPr>
        <xdr:cNvPr id="29" name="Retângulo 28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1</xdr:col>
      <xdr:colOff>5124443</xdr:colOff>
      <xdr:row>1</xdr:row>
      <xdr:rowOff>57150</xdr:rowOff>
    </xdr:from>
    <xdr:to>
      <xdr:col>3</xdr:col>
      <xdr:colOff>116843</xdr:colOff>
      <xdr:row>2</xdr:row>
      <xdr:rowOff>38100</xdr:rowOff>
    </xdr:to>
    <xdr:sp macro="" textlink="">
      <xdr:nvSpPr>
        <xdr:cNvPr id="30" name="Retângulo 29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05418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16337F32-E358-440E-AA28-C2AF9E2B6D2A}"/>
            </a:ext>
          </a:extLst>
        </xdr:cNvPr>
        <xdr:cNvSpPr txBox="1"/>
      </xdr:nvSpPr>
      <xdr:spPr>
        <a:xfrm>
          <a:off x="13306425" y="998009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oneCell">
    <xdr:from>
      <xdr:col>5</xdr:col>
      <xdr:colOff>45225</xdr:colOff>
      <xdr:row>3</xdr:row>
      <xdr:rowOff>257175</xdr:rowOff>
    </xdr:from>
    <xdr:to>
      <xdr:col>8</xdr:col>
      <xdr:colOff>614550</xdr:colOff>
      <xdr:row>13</xdr:row>
      <xdr:rowOff>89175</xdr:rowOff>
    </xdr:to>
    <xdr:pic>
      <xdr:nvPicPr>
        <xdr:cNvPr id="18" name="Imagem 17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150" y="1200150"/>
          <a:ext cx="2160000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885825</xdr:colOff>
      <xdr:row>3</xdr:row>
      <xdr:rowOff>257175</xdr:rowOff>
    </xdr:from>
    <xdr:to>
      <xdr:col>12</xdr:col>
      <xdr:colOff>178800</xdr:colOff>
      <xdr:row>13</xdr:row>
      <xdr:rowOff>89175</xdr:rowOff>
    </xdr:to>
    <xdr:pic>
      <xdr:nvPicPr>
        <xdr:cNvPr id="19" name="Imagem 18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1589349</xdr:colOff>
      <xdr:row>0</xdr:row>
      <xdr:rowOff>0</xdr:rowOff>
    </xdr:from>
    <xdr:to>
      <xdr:col>2</xdr:col>
      <xdr:colOff>2653508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2</xdr:col>
      <xdr:colOff>2724674</xdr:colOff>
      <xdr:row>0</xdr:row>
      <xdr:rowOff>0</xdr:rowOff>
    </xdr:from>
    <xdr:to>
      <xdr:col>2</xdr:col>
      <xdr:colOff>3888310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3</xdr:col>
      <xdr:colOff>323837</xdr:colOff>
      <xdr:row>0</xdr:row>
      <xdr:rowOff>0</xdr:rowOff>
    </xdr:from>
    <xdr:to>
      <xdr:col>4</xdr:col>
      <xdr:colOff>225945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6</xdr:col>
      <xdr:colOff>252395</xdr:colOff>
      <xdr:row>0</xdr:row>
      <xdr:rowOff>0</xdr:rowOff>
    </xdr:from>
    <xdr:to>
      <xdr:col>8</xdr:col>
      <xdr:colOff>144979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1589346</xdr:colOff>
      <xdr:row>1</xdr:row>
      <xdr:rowOff>57150</xdr:rowOff>
    </xdr:from>
    <xdr:to>
      <xdr:col>2</xdr:col>
      <xdr:colOff>2525346</xdr:colOff>
      <xdr:row>2</xdr:row>
      <xdr:rowOff>38100</xdr:rowOff>
    </xdr:to>
    <xdr:sp macro="" textlink="">
      <xdr:nvSpPr>
        <xdr:cNvPr id="24" name="Retângulo 23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2571744</xdr:colOff>
      <xdr:row>1</xdr:row>
      <xdr:rowOff>57150</xdr:rowOff>
    </xdr:from>
    <xdr:to>
      <xdr:col>2</xdr:col>
      <xdr:colOff>3507744</xdr:colOff>
      <xdr:row>2</xdr:row>
      <xdr:rowOff>38100</xdr:rowOff>
    </xdr:to>
    <xdr:sp macro="" textlink="">
      <xdr:nvSpPr>
        <xdr:cNvPr id="25" name="Retângulo 2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200183</xdr:colOff>
      <xdr:row>0</xdr:row>
      <xdr:rowOff>378000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2</xdr:col>
      <xdr:colOff>3952868</xdr:colOff>
      <xdr:row>0</xdr:row>
      <xdr:rowOff>0</xdr:rowOff>
    </xdr:from>
    <xdr:to>
      <xdr:col>3</xdr:col>
      <xdr:colOff>254526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4</xdr:col>
      <xdr:colOff>285743</xdr:colOff>
      <xdr:row>0</xdr:row>
      <xdr:rowOff>0</xdr:rowOff>
    </xdr:from>
    <xdr:to>
      <xdr:col>6</xdr:col>
      <xdr:colOff>168801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3562343</xdr:colOff>
      <xdr:row>1</xdr:row>
      <xdr:rowOff>57150</xdr:rowOff>
    </xdr:from>
    <xdr:to>
      <xdr:col>2</xdr:col>
      <xdr:colOff>4498343</xdr:colOff>
      <xdr:row>2</xdr:row>
      <xdr:rowOff>38100</xdr:rowOff>
    </xdr:to>
    <xdr:sp macro="" textlink="">
      <xdr:nvSpPr>
        <xdr:cNvPr id="29" name="Retângulo 28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2</xdr:col>
      <xdr:colOff>4543418</xdr:colOff>
      <xdr:row>1</xdr:row>
      <xdr:rowOff>57150</xdr:rowOff>
    </xdr:from>
    <xdr:to>
      <xdr:col>3</xdr:col>
      <xdr:colOff>735968</xdr:colOff>
      <xdr:row>2</xdr:row>
      <xdr:rowOff>38100</xdr:rowOff>
    </xdr:to>
    <xdr:sp macro="" textlink="">
      <xdr:nvSpPr>
        <xdr:cNvPr id="30" name="Retângulo 29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05418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57150</xdr:rowOff>
    </xdr:from>
    <xdr:to>
      <xdr:col>4</xdr:col>
      <xdr:colOff>202200</xdr:colOff>
      <xdr:row>10</xdr:row>
      <xdr:rowOff>240300</xdr:rowOff>
    </xdr:to>
    <xdr:grpSp>
      <xdr:nvGrpSpPr>
        <xdr:cNvPr id="54" name="Grupo 53">
          <a:hlinkClick xmlns:r="http://schemas.openxmlformats.org/officeDocument/2006/relationships" r:id="rId1"/>
        </xdr:cNvPr>
        <xdr:cNvGrpSpPr/>
      </xdr:nvGrpSpPr>
      <xdr:grpSpPr>
        <a:xfrm>
          <a:off x="133350" y="1295400"/>
          <a:ext cx="2412000" cy="2412000"/>
          <a:chOff x="133350" y="1295400"/>
          <a:chExt cx="2412000" cy="2412000"/>
        </a:xfrm>
      </xdr:grpSpPr>
      <xdr:sp macro="" textlink="">
        <xdr:nvSpPr>
          <xdr:cNvPr id="16" name="Retângulo 15"/>
          <xdr:cNvSpPr>
            <a:spLocks noChangeAspect="1"/>
          </xdr:cNvSpPr>
        </xdr:nvSpPr>
        <xdr:spPr>
          <a:xfrm>
            <a:off x="133350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7" name="CaixaDeTexto 16"/>
          <xdr:cNvSpPr txBox="1"/>
        </xdr:nvSpPr>
        <xdr:spPr>
          <a:xfrm>
            <a:off x="133350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Planilhas Profissionais Prontas</a:t>
            </a:r>
          </a:p>
        </xdr:txBody>
      </xdr:sp>
      <xdr:sp macro="" textlink="">
        <xdr:nvSpPr>
          <xdr:cNvPr id="18" name="CaixaDeTexto 17"/>
          <xdr:cNvSpPr txBox="1"/>
        </xdr:nvSpPr>
        <xdr:spPr>
          <a:xfrm>
            <a:off x="133350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souzasistemas.com</a:t>
            </a:r>
          </a:p>
        </xdr:txBody>
      </xdr:sp>
      <xdr:pic>
        <xdr:nvPicPr>
          <xdr:cNvPr id="19" name="Imagem 18" descr="Excel icon PNG, ICO or ICNS | Free vector icons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0075" y="2047875"/>
            <a:ext cx="1440000" cy="144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4</xdr:col>
      <xdr:colOff>276225</xdr:colOff>
      <xdr:row>4</xdr:row>
      <xdr:rowOff>57150</xdr:rowOff>
    </xdr:from>
    <xdr:to>
      <xdr:col>7</xdr:col>
      <xdr:colOff>516525</xdr:colOff>
      <xdr:row>10</xdr:row>
      <xdr:rowOff>240300</xdr:rowOff>
    </xdr:to>
    <xdr:grpSp>
      <xdr:nvGrpSpPr>
        <xdr:cNvPr id="55" name="Grupo 54">
          <a:hlinkClick xmlns:r="http://schemas.openxmlformats.org/officeDocument/2006/relationships" r:id="rId3"/>
        </xdr:cNvPr>
        <xdr:cNvGrpSpPr/>
      </xdr:nvGrpSpPr>
      <xdr:grpSpPr>
        <a:xfrm>
          <a:off x="2619375" y="1295400"/>
          <a:ext cx="2412000" cy="2412000"/>
          <a:chOff x="2619375" y="1295400"/>
          <a:chExt cx="2412000" cy="2412000"/>
        </a:xfrm>
      </xdr:grpSpPr>
      <xdr:sp macro="" textlink="">
        <xdr:nvSpPr>
          <xdr:cNvPr id="20" name="Retângulo 19"/>
          <xdr:cNvSpPr>
            <a:spLocks noChangeAspect="1"/>
          </xdr:cNvSpPr>
        </xdr:nvSpPr>
        <xdr:spPr>
          <a:xfrm>
            <a:off x="261937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33" name="CaixaDeTexto 32"/>
          <xdr:cNvSpPr txBox="1"/>
        </xdr:nvSpPr>
        <xdr:spPr>
          <a:xfrm>
            <a:off x="261937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Instagram</a:t>
            </a:r>
          </a:p>
        </xdr:txBody>
      </xdr:sp>
      <xdr:sp macro="" textlink="">
        <xdr:nvSpPr>
          <xdr:cNvPr id="34" name="CaixaDeTexto 33"/>
          <xdr:cNvSpPr txBox="1"/>
        </xdr:nvSpPr>
        <xdr:spPr>
          <a:xfrm>
            <a:off x="261937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instagram.com/souza_sistemas</a:t>
            </a:r>
          </a:p>
        </xdr:txBody>
      </xdr:sp>
      <xdr:pic>
        <xdr:nvPicPr>
          <xdr:cNvPr id="45" name="Imagem 44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219450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561975</xdr:colOff>
      <xdr:row>4</xdr:row>
      <xdr:rowOff>57150</xdr:rowOff>
    </xdr:from>
    <xdr:to>
      <xdr:col>11</xdr:col>
      <xdr:colOff>78375</xdr:colOff>
      <xdr:row>10</xdr:row>
      <xdr:rowOff>240300</xdr:rowOff>
    </xdr:to>
    <xdr:grpSp>
      <xdr:nvGrpSpPr>
        <xdr:cNvPr id="56" name="Grupo 55">
          <a:hlinkClick xmlns:r="http://schemas.openxmlformats.org/officeDocument/2006/relationships" r:id="rId5"/>
        </xdr:cNvPr>
        <xdr:cNvGrpSpPr/>
      </xdr:nvGrpSpPr>
      <xdr:grpSpPr>
        <a:xfrm>
          <a:off x="5076825" y="1295400"/>
          <a:ext cx="2412000" cy="2412000"/>
          <a:chOff x="5076825" y="1295400"/>
          <a:chExt cx="2412000" cy="2412000"/>
        </a:xfrm>
      </xdr:grpSpPr>
      <xdr:sp macro="" textlink="">
        <xdr:nvSpPr>
          <xdr:cNvPr id="24" name="Retângulo 23"/>
          <xdr:cNvSpPr>
            <a:spLocks noChangeAspect="1"/>
          </xdr:cNvSpPr>
        </xdr:nvSpPr>
        <xdr:spPr>
          <a:xfrm>
            <a:off x="50768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35" name="CaixaDeTexto 34"/>
          <xdr:cNvSpPr txBox="1"/>
        </xdr:nvSpPr>
        <xdr:spPr>
          <a:xfrm>
            <a:off x="50768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Facebook</a:t>
            </a:r>
          </a:p>
        </xdr:txBody>
      </xdr:sp>
      <xdr:sp macro="" textlink="">
        <xdr:nvSpPr>
          <xdr:cNvPr id="36" name="CaixaDeTexto 35"/>
          <xdr:cNvSpPr txBox="1"/>
        </xdr:nvSpPr>
        <xdr:spPr>
          <a:xfrm>
            <a:off x="50768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facebook.com/souzasistemas</a:t>
            </a:r>
          </a:p>
        </xdr:txBody>
      </xdr:sp>
      <xdr:pic>
        <xdr:nvPicPr>
          <xdr:cNvPr id="47" name="Imagem 46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68642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11</xdr:col>
      <xdr:colOff>142875</xdr:colOff>
      <xdr:row>4</xdr:row>
      <xdr:rowOff>57150</xdr:rowOff>
    </xdr:from>
    <xdr:to>
      <xdr:col>14</xdr:col>
      <xdr:colOff>383175</xdr:colOff>
      <xdr:row>10</xdr:row>
      <xdr:rowOff>240300</xdr:rowOff>
    </xdr:to>
    <xdr:grpSp>
      <xdr:nvGrpSpPr>
        <xdr:cNvPr id="57" name="Grupo 56">
          <a:hlinkClick xmlns:r="http://schemas.openxmlformats.org/officeDocument/2006/relationships" r:id="rId7"/>
        </xdr:cNvPr>
        <xdr:cNvGrpSpPr/>
      </xdr:nvGrpSpPr>
      <xdr:grpSpPr>
        <a:xfrm>
          <a:off x="7553325" y="1295400"/>
          <a:ext cx="2412000" cy="2412000"/>
          <a:chOff x="7553325" y="1295400"/>
          <a:chExt cx="2412000" cy="2412000"/>
        </a:xfrm>
      </xdr:grpSpPr>
      <xdr:sp macro="" textlink="">
        <xdr:nvSpPr>
          <xdr:cNvPr id="28" name="Retângulo 27"/>
          <xdr:cNvSpPr>
            <a:spLocks noChangeAspect="1"/>
          </xdr:cNvSpPr>
        </xdr:nvSpPr>
        <xdr:spPr>
          <a:xfrm>
            <a:off x="75533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37" name="CaixaDeTexto 36"/>
          <xdr:cNvSpPr txBox="1"/>
        </xdr:nvSpPr>
        <xdr:spPr>
          <a:xfrm>
            <a:off x="75533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Vídeo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Aulas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8" name="CaixaDeTexto 37"/>
          <xdr:cNvSpPr txBox="1"/>
        </xdr:nvSpPr>
        <xdr:spPr>
          <a:xfrm>
            <a:off x="75533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youtube.com/c/FlavioSouza3350</a:t>
            </a:r>
          </a:p>
        </xdr:txBody>
      </xdr:sp>
      <xdr:pic>
        <xdr:nvPicPr>
          <xdr:cNvPr id="52" name="Imagem 51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814387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14</xdr:col>
      <xdr:colOff>447676</xdr:colOff>
      <xdr:row>4</xdr:row>
      <xdr:rowOff>57150</xdr:rowOff>
    </xdr:from>
    <xdr:to>
      <xdr:col>18</xdr:col>
      <xdr:colOff>192676</xdr:colOff>
      <xdr:row>10</xdr:row>
      <xdr:rowOff>240300</xdr:rowOff>
    </xdr:to>
    <xdr:grpSp>
      <xdr:nvGrpSpPr>
        <xdr:cNvPr id="58" name="Grupo 57">
          <a:hlinkClick xmlns:r="http://schemas.openxmlformats.org/officeDocument/2006/relationships" r:id="rId9"/>
        </xdr:cNvPr>
        <xdr:cNvGrpSpPr/>
      </xdr:nvGrpSpPr>
      <xdr:grpSpPr>
        <a:xfrm>
          <a:off x="10029826" y="1295400"/>
          <a:ext cx="2412000" cy="2412000"/>
          <a:chOff x="10029826" y="1295400"/>
          <a:chExt cx="2412000" cy="2412000"/>
        </a:xfrm>
      </xdr:grpSpPr>
      <xdr:sp macro="" textlink="">
        <xdr:nvSpPr>
          <xdr:cNvPr id="32" name="Retângulo 31"/>
          <xdr:cNvSpPr>
            <a:spLocks noChangeAspect="1"/>
          </xdr:cNvSpPr>
        </xdr:nvSpPr>
        <xdr:spPr>
          <a:xfrm>
            <a:off x="10029826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39" name="CaixaDeTexto 38"/>
          <xdr:cNvSpPr txBox="1"/>
        </xdr:nvSpPr>
        <xdr:spPr>
          <a:xfrm>
            <a:off x="10029826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Conteúdo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0" name="CaixaDeTexto 39"/>
          <xdr:cNvSpPr txBox="1"/>
        </xdr:nvSpPr>
        <xdr:spPr>
          <a:xfrm>
            <a:off x="10029826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blog.souza.xyz/</a:t>
            </a:r>
          </a:p>
        </xdr:txBody>
      </xdr:sp>
      <xdr:pic>
        <xdr:nvPicPr>
          <xdr:cNvPr id="53" name="Imagem 52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0696575" y="2265975"/>
            <a:ext cx="1080000" cy="1080000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8199</xdr:colOff>
      <xdr:row>0</xdr:row>
      <xdr:rowOff>0</xdr:rowOff>
    </xdr:from>
    <xdr:to>
      <xdr:col>5</xdr:col>
      <xdr:colOff>348458</xdr:colOff>
      <xdr:row>1</xdr:row>
      <xdr:rowOff>15000</xdr:rowOff>
    </xdr:to>
    <xdr:sp macro="" textlink="">
      <xdr:nvSpPr>
        <xdr:cNvPr id="59" name="Retângulo 58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5</xdr:col>
      <xdr:colOff>419624</xdr:colOff>
      <xdr:row>0</xdr:row>
      <xdr:rowOff>0</xdr:rowOff>
    </xdr:from>
    <xdr:to>
      <xdr:col>7</xdr:col>
      <xdr:colOff>135460</xdr:colOff>
      <xdr:row>1</xdr:row>
      <xdr:rowOff>15000</xdr:rowOff>
    </xdr:to>
    <xdr:sp macro="" textlink="">
      <xdr:nvSpPr>
        <xdr:cNvPr id="60" name="Retângulo 59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8</xdr:col>
      <xdr:colOff>590537</xdr:colOff>
      <xdr:row>0</xdr:row>
      <xdr:rowOff>0</xdr:rowOff>
    </xdr:from>
    <xdr:to>
      <xdr:col>10</xdr:col>
      <xdr:colOff>187845</xdr:colOff>
      <xdr:row>1</xdr:row>
      <xdr:rowOff>15000</xdr:rowOff>
    </xdr:to>
    <xdr:sp macro="" textlink="">
      <xdr:nvSpPr>
        <xdr:cNvPr id="61" name="Retângulo 60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7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11</xdr:col>
      <xdr:colOff>652445</xdr:colOff>
      <xdr:row>0</xdr:row>
      <xdr:rowOff>0</xdr:rowOff>
    </xdr:from>
    <xdr:to>
      <xdr:col>13</xdr:col>
      <xdr:colOff>278329</xdr:colOff>
      <xdr:row>1</xdr:row>
      <xdr:rowOff>15000</xdr:rowOff>
    </xdr:to>
    <xdr:sp macro="" textlink="">
      <xdr:nvSpPr>
        <xdr:cNvPr id="62" name="Retângulo 61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4</xdr:col>
      <xdr:colOff>8196</xdr:colOff>
      <xdr:row>1</xdr:row>
      <xdr:rowOff>57150</xdr:rowOff>
    </xdr:from>
    <xdr:to>
      <xdr:col>5</xdr:col>
      <xdr:colOff>220296</xdr:colOff>
      <xdr:row>2</xdr:row>
      <xdr:rowOff>38100</xdr:rowOff>
    </xdr:to>
    <xdr:sp macro="" textlink="">
      <xdr:nvSpPr>
        <xdr:cNvPr id="63" name="Retângulo 62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5</xdr:col>
      <xdr:colOff>266694</xdr:colOff>
      <xdr:row>1</xdr:row>
      <xdr:rowOff>57150</xdr:rowOff>
    </xdr:from>
    <xdr:to>
      <xdr:col>6</xdr:col>
      <xdr:colOff>478794</xdr:colOff>
      <xdr:row>2</xdr:row>
      <xdr:rowOff>38100</xdr:rowOff>
    </xdr:to>
    <xdr:sp macro="" textlink="">
      <xdr:nvSpPr>
        <xdr:cNvPr id="64" name="Retângulo 63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57308</xdr:colOff>
      <xdr:row>0</xdr:row>
      <xdr:rowOff>378000</xdr:rowOff>
    </xdr:to>
    <xdr:pic>
      <xdr:nvPicPr>
        <xdr:cNvPr id="65" name="Imagem 6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7</xdr:col>
      <xdr:colOff>200018</xdr:colOff>
      <xdr:row>0</xdr:row>
      <xdr:rowOff>0</xdr:rowOff>
    </xdr:from>
    <xdr:to>
      <xdr:col>8</xdr:col>
      <xdr:colOff>521226</xdr:colOff>
      <xdr:row>1</xdr:row>
      <xdr:rowOff>15000</xdr:rowOff>
    </xdr:to>
    <xdr:sp macro="" textlink="">
      <xdr:nvSpPr>
        <xdr:cNvPr id="66" name="Retângulo 65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10</xdr:col>
      <xdr:colOff>247643</xdr:colOff>
      <xdr:row>0</xdr:row>
      <xdr:rowOff>0</xdr:rowOff>
    </xdr:from>
    <xdr:to>
      <xdr:col>11</xdr:col>
      <xdr:colOff>568851</xdr:colOff>
      <xdr:row>1</xdr:row>
      <xdr:rowOff>15000</xdr:rowOff>
    </xdr:to>
    <xdr:sp macro="" textlink="">
      <xdr:nvSpPr>
        <xdr:cNvPr id="67" name="Retângulo 66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6</xdr:col>
      <xdr:colOff>533393</xdr:colOff>
      <xdr:row>1</xdr:row>
      <xdr:rowOff>57150</xdr:rowOff>
    </xdr:from>
    <xdr:to>
      <xdr:col>8</xdr:col>
      <xdr:colOff>21593</xdr:colOff>
      <xdr:row>2</xdr:row>
      <xdr:rowOff>38100</xdr:rowOff>
    </xdr:to>
    <xdr:sp macro="" textlink="">
      <xdr:nvSpPr>
        <xdr:cNvPr id="68" name="Retângulo 67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8</xdr:col>
      <xdr:colOff>66668</xdr:colOff>
      <xdr:row>1</xdr:row>
      <xdr:rowOff>57150</xdr:rowOff>
    </xdr:from>
    <xdr:to>
      <xdr:col>9</xdr:col>
      <xdr:colOff>278768</xdr:colOff>
      <xdr:row>2</xdr:row>
      <xdr:rowOff>38100</xdr:rowOff>
    </xdr:to>
    <xdr:sp macro="" textlink="">
      <xdr:nvSpPr>
        <xdr:cNvPr id="69" name="Retângulo 68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05418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Nós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1789375</xdr:colOff>
      <xdr:row>0</xdr:row>
      <xdr:rowOff>0</xdr:rowOff>
    </xdr:from>
    <xdr:to>
      <xdr:col>7</xdr:col>
      <xdr:colOff>424659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7</xdr:col>
      <xdr:colOff>495825</xdr:colOff>
      <xdr:row>0</xdr:row>
      <xdr:rowOff>0</xdr:rowOff>
    </xdr:from>
    <xdr:to>
      <xdr:col>9</xdr:col>
      <xdr:colOff>440261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11</xdr:col>
      <xdr:colOff>400038</xdr:colOff>
      <xdr:row>0</xdr:row>
      <xdr:rowOff>0</xdr:rowOff>
    </xdr:from>
    <xdr:to>
      <xdr:col>13</xdr:col>
      <xdr:colOff>225946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15</xdr:col>
      <xdr:colOff>195246</xdr:colOff>
      <xdr:row>0</xdr:row>
      <xdr:rowOff>0</xdr:rowOff>
    </xdr:from>
    <xdr:to>
      <xdr:col>17</xdr:col>
      <xdr:colOff>49730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9</xdr:col>
      <xdr:colOff>504819</xdr:colOff>
      <xdr:row>0</xdr:row>
      <xdr:rowOff>0</xdr:rowOff>
    </xdr:from>
    <xdr:to>
      <xdr:col>11</xdr:col>
      <xdr:colOff>330727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13</xdr:col>
      <xdr:colOff>285744</xdr:colOff>
      <xdr:row>0</xdr:row>
      <xdr:rowOff>0</xdr:rowOff>
    </xdr:from>
    <xdr:to>
      <xdr:col>15</xdr:col>
      <xdr:colOff>111652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7</xdr:col>
      <xdr:colOff>112971</xdr:colOff>
      <xdr:row>1</xdr:row>
      <xdr:rowOff>57150</xdr:rowOff>
    </xdr:from>
    <xdr:to>
      <xdr:col>8</xdr:col>
      <xdr:colOff>439371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3103821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Categoria</a:t>
          </a:r>
        </a:p>
      </xdr:txBody>
    </xdr:sp>
    <xdr:clientData/>
  </xdr:twoCellAnchor>
  <xdr:twoCellAnchor editAs="absolute">
    <xdr:from>
      <xdr:col>8</xdr:col>
      <xdr:colOff>504819</xdr:colOff>
      <xdr:row>1</xdr:row>
      <xdr:rowOff>57150</xdr:rowOff>
    </xdr:from>
    <xdr:to>
      <xdr:col>10</xdr:col>
      <xdr:colOff>221619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105269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Equipamento</a:t>
          </a:r>
        </a:p>
      </xdr:txBody>
    </xdr:sp>
    <xdr:clientData/>
  </xdr:twoCellAnchor>
  <xdr:twoCellAnchor editAs="absolute">
    <xdr:from>
      <xdr:col>10</xdr:col>
      <xdr:colOff>266693</xdr:colOff>
      <xdr:row>1</xdr:row>
      <xdr:rowOff>57150</xdr:rowOff>
    </xdr:from>
    <xdr:to>
      <xdr:col>11</xdr:col>
      <xdr:colOff>341093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5086343" y="438150"/>
          <a:ext cx="684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Falha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400208</xdr:colOff>
      <xdr:row>0</xdr:row>
      <xdr:rowOff>378000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1789375</xdr:colOff>
      <xdr:row>1</xdr:row>
      <xdr:rowOff>57150</xdr:rowOff>
    </xdr:from>
    <xdr:to>
      <xdr:col>7</xdr:col>
      <xdr:colOff>44500</xdr:colOff>
      <xdr:row>2</xdr:row>
      <xdr:rowOff>38100</xdr:rowOff>
    </xdr:to>
    <xdr:sp macro="" textlink="">
      <xdr:nvSpPr>
        <xdr:cNvPr id="18" name="Retângulo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2351350" y="438150"/>
          <a:ext cx="684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Setor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1789375</xdr:colOff>
      <xdr:row>0</xdr:row>
      <xdr:rowOff>0</xdr:rowOff>
    </xdr:from>
    <xdr:to>
      <xdr:col>3</xdr:col>
      <xdr:colOff>1034259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1105425</xdr:colOff>
      <xdr:row>0</xdr:row>
      <xdr:rowOff>0</xdr:rowOff>
    </xdr:from>
    <xdr:to>
      <xdr:col>4</xdr:col>
      <xdr:colOff>449786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4</xdr:col>
      <xdr:colOff>1628763</xdr:colOff>
      <xdr:row>0</xdr:row>
      <xdr:rowOff>0</xdr:rowOff>
    </xdr:from>
    <xdr:to>
      <xdr:col>9</xdr:col>
      <xdr:colOff>244996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11</xdr:col>
      <xdr:colOff>214296</xdr:colOff>
      <xdr:row>0</xdr:row>
      <xdr:rowOff>0</xdr:rowOff>
    </xdr:from>
    <xdr:to>
      <xdr:col>13</xdr:col>
      <xdr:colOff>68780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4</xdr:col>
      <xdr:colOff>514344</xdr:colOff>
      <xdr:row>0</xdr:row>
      <xdr:rowOff>0</xdr:rowOff>
    </xdr:from>
    <xdr:to>
      <xdr:col>4</xdr:col>
      <xdr:colOff>1559452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9</xdr:col>
      <xdr:colOff>304794</xdr:colOff>
      <xdr:row>0</xdr:row>
      <xdr:rowOff>0</xdr:rowOff>
    </xdr:from>
    <xdr:to>
      <xdr:col>11</xdr:col>
      <xdr:colOff>130702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722571</xdr:colOff>
      <xdr:row>1</xdr:row>
      <xdr:rowOff>57150</xdr:rowOff>
    </xdr:from>
    <xdr:to>
      <xdr:col>3</xdr:col>
      <xdr:colOff>1658571</xdr:colOff>
      <xdr:row>2</xdr:row>
      <xdr:rowOff>38100</xdr:rowOff>
    </xdr:to>
    <xdr:sp macro="" textlink="">
      <xdr:nvSpPr>
        <xdr:cNvPr id="13" name="Retângulo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3103821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Categoria</a:t>
          </a:r>
        </a:p>
      </xdr:txBody>
    </xdr:sp>
    <xdr:clientData/>
  </xdr:twoCellAnchor>
  <xdr:twoCellAnchor editAs="absolute">
    <xdr:from>
      <xdr:col>3</xdr:col>
      <xdr:colOff>1724019</xdr:colOff>
      <xdr:row>1</xdr:row>
      <xdr:rowOff>57150</xdr:rowOff>
    </xdr:from>
    <xdr:to>
      <xdr:col>4</xdr:col>
      <xdr:colOff>840744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105269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Equipamento</a:t>
          </a:r>
        </a:p>
      </xdr:txBody>
    </xdr:sp>
    <xdr:clientData/>
  </xdr:twoCellAnchor>
  <xdr:twoCellAnchor editAs="absolute">
    <xdr:from>
      <xdr:col>4</xdr:col>
      <xdr:colOff>885818</xdr:colOff>
      <xdr:row>1</xdr:row>
      <xdr:rowOff>57150</xdr:rowOff>
    </xdr:from>
    <xdr:to>
      <xdr:col>4</xdr:col>
      <xdr:colOff>1569818</xdr:colOff>
      <xdr:row>2</xdr:row>
      <xdr:rowOff>38100</xdr:rowOff>
    </xdr:to>
    <xdr:sp macro="" textlink="">
      <xdr:nvSpPr>
        <xdr:cNvPr id="15" name="Retângulo 1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5086343" y="438150"/>
          <a:ext cx="684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Falha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400208</xdr:colOff>
      <xdr:row>0</xdr:row>
      <xdr:rowOff>378000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1789375</xdr:colOff>
      <xdr:row>1</xdr:row>
      <xdr:rowOff>57150</xdr:rowOff>
    </xdr:from>
    <xdr:to>
      <xdr:col>3</xdr:col>
      <xdr:colOff>654100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2351350" y="438150"/>
          <a:ext cx="684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Setor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713050</xdr:colOff>
      <xdr:row>0</xdr:row>
      <xdr:rowOff>0</xdr:rowOff>
    </xdr:from>
    <xdr:to>
      <xdr:col>3</xdr:col>
      <xdr:colOff>1777209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1848375</xdr:colOff>
      <xdr:row>0</xdr:row>
      <xdr:rowOff>0</xdr:rowOff>
    </xdr:from>
    <xdr:to>
      <xdr:col>4</xdr:col>
      <xdr:colOff>1107011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13</xdr:col>
      <xdr:colOff>361938</xdr:colOff>
      <xdr:row>0</xdr:row>
      <xdr:rowOff>0</xdr:rowOff>
    </xdr:from>
    <xdr:to>
      <xdr:col>15</xdr:col>
      <xdr:colOff>187846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17</xdr:col>
      <xdr:colOff>157146</xdr:colOff>
      <xdr:row>0</xdr:row>
      <xdr:rowOff>0</xdr:rowOff>
    </xdr:from>
    <xdr:to>
      <xdr:col>19</xdr:col>
      <xdr:colOff>11630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4</xdr:col>
      <xdr:colOff>1171569</xdr:colOff>
      <xdr:row>0</xdr:row>
      <xdr:rowOff>0</xdr:rowOff>
    </xdr:from>
    <xdr:to>
      <xdr:col>13</xdr:col>
      <xdr:colOff>292627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15</xdr:col>
      <xdr:colOff>247644</xdr:colOff>
      <xdr:row>0</xdr:row>
      <xdr:rowOff>0</xdr:rowOff>
    </xdr:from>
    <xdr:to>
      <xdr:col>17</xdr:col>
      <xdr:colOff>73552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1465521</xdr:colOff>
      <xdr:row>1</xdr:row>
      <xdr:rowOff>57150</xdr:rowOff>
    </xdr:from>
    <xdr:to>
      <xdr:col>4</xdr:col>
      <xdr:colOff>496521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3103821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Categoria</a:t>
          </a:r>
        </a:p>
      </xdr:txBody>
    </xdr:sp>
    <xdr:clientData/>
  </xdr:twoCellAnchor>
  <xdr:twoCellAnchor editAs="absolute">
    <xdr:from>
      <xdr:col>4</xdr:col>
      <xdr:colOff>561969</xdr:colOff>
      <xdr:row>1</xdr:row>
      <xdr:rowOff>57150</xdr:rowOff>
    </xdr:from>
    <xdr:to>
      <xdr:col>12</xdr:col>
      <xdr:colOff>183519</xdr:colOff>
      <xdr:row>2</xdr:row>
      <xdr:rowOff>38100</xdr:rowOff>
    </xdr:to>
    <xdr:sp macro="" textlink="">
      <xdr:nvSpPr>
        <xdr:cNvPr id="18" name="Retângulo 17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105269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Equipamento</a:t>
          </a:r>
        </a:p>
      </xdr:txBody>
    </xdr:sp>
    <xdr:clientData/>
  </xdr:twoCellAnchor>
  <xdr:twoCellAnchor editAs="absolute">
    <xdr:from>
      <xdr:col>12</xdr:col>
      <xdr:colOff>228593</xdr:colOff>
      <xdr:row>1</xdr:row>
      <xdr:rowOff>57150</xdr:rowOff>
    </xdr:from>
    <xdr:to>
      <xdr:col>13</xdr:col>
      <xdr:colOff>302993</xdr:colOff>
      <xdr:row>2</xdr:row>
      <xdr:rowOff>38100</xdr:rowOff>
    </xdr:to>
    <xdr:sp macro="" textlink="">
      <xdr:nvSpPr>
        <xdr:cNvPr id="19" name="Retângulo 18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5086343" y="438150"/>
          <a:ext cx="684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Falha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400208</xdr:colOff>
      <xdr:row>0</xdr:row>
      <xdr:rowOff>378000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713050</xdr:colOff>
      <xdr:row>1</xdr:row>
      <xdr:rowOff>57150</xdr:rowOff>
    </xdr:from>
    <xdr:to>
      <xdr:col>3</xdr:col>
      <xdr:colOff>1397050</xdr:colOff>
      <xdr:row>2</xdr:row>
      <xdr:rowOff>38100</xdr:rowOff>
    </xdr:to>
    <xdr:sp macro="" textlink="">
      <xdr:nvSpPr>
        <xdr:cNvPr id="21" name="Retângulo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2351350" y="438150"/>
          <a:ext cx="684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Setor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1789375</xdr:colOff>
      <xdr:row>0</xdr:row>
      <xdr:rowOff>0</xdr:rowOff>
    </xdr:from>
    <xdr:to>
      <xdr:col>6</xdr:col>
      <xdr:colOff>462759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6</xdr:col>
      <xdr:colOff>533925</xdr:colOff>
      <xdr:row>0</xdr:row>
      <xdr:rowOff>0</xdr:rowOff>
    </xdr:from>
    <xdr:to>
      <xdr:col>8</xdr:col>
      <xdr:colOff>478361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10</xdr:col>
      <xdr:colOff>438138</xdr:colOff>
      <xdr:row>0</xdr:row>
      <xdr:rowOff>0</xdr:rowOff>
    </xdr:from>
    <xdr:to>
      <xdr:col>12</xdr:col>
      <xdr:colOff>264046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14</xdr:col>
      <xdr:colOff>233346</xdr:colOff>
      <xdr:row>0</xdr:row>
      <xdr:rowOff>0</xdr:rowOff>
    </xdr:from>
    <xdr:to>
      <xdr:col>16</xdr:col>
      <xdr:colOff>87830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8</xdr:col>
      <xdr:colOff>542919</xdr:colOff>
      <xdr:row>0</xdr:row>
      <xdr:rowOff>0</xdr:rowOff>
    </xdr:from>
    <xdr:to>
      <xdr:col>10</xdr:col>
      <xdr:colOff>368827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12</xdr:col>
      <xdr:colOff>323844</xdr:colOff>
      <xdr:row>0</xdr:row>
      <xdr:rowOff>0</xdr:rowOff>
    </xdr:from>
    <xdr:to>
      <xdr:col>14</xdr:col>
      <xdr:colOff>149752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6</xdr:col>
      <xdr:colOff>151071</xdr:colOff>
      <xdr:row>1</xdr:row>
      <xdr:rowOff>57150</xdr:rowOff>
    </xdr:from>
    <xdr:to>
      <xdr:col>7</xdr:col>
      <xdr:colOff>477471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3103821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Categoria</a:t>
          </a:r>
        </a:p>
      </xdr:txBody>
    </xdr:sp>
    <xdr:clientData/>
  </xdr:twoCellAnchor>
  <xdr:twoCellAnchor editAs="absolute">
    <xdr:from>
      <xdr:col>7</xdr:col>
      <xdr:colOff>542919</xdr:colOff>
      <xdr:row>1</xdr:row>
      <xdr:rowOff>57150</xdr:rowOff>
    </xdr:from>
    <xdr:to>
      <xdr:col>9</xdr:col>
      <xdr:colOff>259719</xdr:colOff>
      <xdr:row>2</xdr:row>
      <xdr:rowOff>38100</xdr:rowOff>
    </xdr:to>
    <xdr:sp macro="" textlink="">
      <xdr:nvSpPr>
        <xdr:cNvPr id="18" name="Retângulo 17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105269" y="438150"/>
          <a:ext cx="93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Equipamento</a:t>
          </a:r>
        </a:p>
      </xdr:txBody>
    </xdr:sp>
    <xdr:clientData/>
  </xdr:twoCellAnchor>
  <xdr:twoCellAnchor editAs="absolute">
    <xdr:from>
      <xdr:col>9</xdr:col>
      <xdr:colOff>304793</xdr:colOff>
      <xdr:row>1</xdr:row>
      <xdr:rowOff>57150</xdr:rowOff>
    </xdr:from>
    <xdr:to>
      <xdr:col>10</xdr:col>
      <xdr:colOff>379193</xdr:colOff>
      <xdr:row>2</xdr:row>
      <xdr:rowOff>38100</xdr:rowOff>
    </xdr:to>
    <xdr:sp macro="" textlink="">
      <xdr:nvSpPr>
        <xdr:cNvPr id="19" name="Retângulo 18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5086343" y="438150"/>
          <a:ext cx="684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Falha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400208</xdr:colOff>
      <xdr:row>0</xdr:row>
      <xdr:rowOff>378000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1789375</xdr:colOff>
      <xdr:row>1</xdr:row>
      <xdr:rowOff>57150</xdr:rowOff>
    </xdr:from>
    <xdr:to>
      <xdr:col>6</xdr:col>
      <xdr:colOff>82600</xdr:colOff>
      <xdr:row>2</xdr:row>
      <xdr:rowOff>38100</xdr:rowOff>
    </xdr:to>
    <xdr:sp macro="" textlink="">
      <xdr:nvSpPr>
        <xdr:cNvPr id="21" name="Retângulo 2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BF0F971-8EAD-4B26-B9FD-45F1671CA7F9}"/>
            </a:ext>
          </a:extLst>
        </xdr:cNvPr>
        <xdr:cNvSpPr/>
      </xdr:nvSpPr>
      <xdr:spPr>
        <a:xfrm>
          <a:off x="2351350" y="438150"/>
          <a:ext cx="684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Setor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1789375</xdr:colOff>
      <xdr:row>0</xdr:row>
      <xdr:rowOff>0</xdr:rowOff>
    </xdr:from>
    <xdr:to>
      <xdr:col>3</xdr:col>
      <xdr:colOff>824709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80814-C7F9-4922-9F89-14605BB9382F}"/>
            </a:ext>
          </a:extLst>
        </xdr:cNvPr>
        <xdr:cNvSpPr/>
      </xdr:nvSpPr>
      <xdr:spPr>
        <a:xfrm>
          <a:off x="2351350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895875</xdr:colOff>
      <xdr:row>0</xdr:row>
      <xdr:rowOff>0</xdr:rowOff>
    </xdr:from>
    <xdr:to>
      <xdr:col>4</xdr:col>
      <xdr:colOff>935561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D6D05B1-42C8-47E2-90C8-8606C977F2FF}"/>
            </a:ext>
          </a:extLst>
        </xdr:cNvPr>
        <xdr:cNvSpPr/>
      </xdr:nvSpPr>
      <xdr:spPr>
        <a:xfrm>
          <a:off x="3486675" y="0"/>
          <a:ext cx="11636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5</xdr:col>
      <xdr:colOff>276213</xdr:colOff>
      <xdr:row>0</xdr:row>
      <xdr:rowOff>0</xdr:rowOff>
    </xdr:from>
    <xdr:to>
      <xdr:col>6</xdr:col>
      <xdr:colOff>216421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582928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7</xdr:col>
      <xdr:colOff>300021</xdr:colOff>
      <xdr:row>0</xdr:row>
      <xdr:rowOff>0</xdr:rowOff>
    </xdr:from>
    <xdr:to>
      <xdr:col>8</xdr:col>
      <xdr:colOff>325955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76C32809-6107-4C6B-85DF-66702C9AF183}"/>
            </a:ext>
          </a:extLst>
        </xdr:cNvPr>
        <xdr:cNvSpPr/>
      </xdr:nvSpPr>
      <xdr:spPr>
        <a:xfrm>
          <a:off x="8062896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1</xdr:colOff>
      <xdr:row>0</xdr:row>
      <xdr:rowOff>0</xdr:rowOff>
    </xdr:from>
    <xdr:to>
      <xdr:col>2</xdr:col>
      <xdr:colOff>400209</xdr:colOff>
      <xdr:row>0</xdr:row>
      <xdr:rowOff>378000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4</xdr:col>
      <xdr:colOff>1000119</xdr:colOff>
      <xdr:row>0</xdr:row>
      <xdr:rowOff>0</xdr:rowOff>
    </xdr:from>
    <xdr:to>
      <xdr:col>5</xdr:col>
      <xdr:colOff>206902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4714869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RESULTADOS</a:t>
          </a:r>
        </a:p>
      </xdr:txBody>
    </xdr:sp>
    <xdr:clientData/>
  </xdr:twoCellAnchor>
  <xdr:twoCellAnchor editAs="absolute">
    <xdr:from>
      <xdr:col>6</xdr:col>
      <xdr:colOff>276219</xdr:colOff>
      <xdr:row>0</xdr:row>
      <xdr:rowOff>0</xdr:rowOff>
    </xdr:from>
    <xdr:to>
      <xdr:col>7</xdr:col>
      <xdr:colOff>216427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B667718-2F2C-484E-9D8C-4658B16D3488}"/>
            </a:ext>
          </a:extLst>
        </xdr:cNvPr>
        <xdr:cNvSpPr/>
      </xdr:nvSpPr>
      <xdr:spPr>
        <a:xfrm>
          <a:off x="693419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bLancamentos" displayName="tbLancamentos" ref="B6:M266" totalsRowShown="0" headerRowDxfId="11" dataDxfId="10">
  <autoFilter ref="B6:M266"/>
  <tableColumns count="12">
    <tableColumn id="1" name="Id" dataDxfId="23">
      <calculatedColumnFormula>COUNTA($B$6:B6)</calculatedColumnFormula>
    </tableColumn>
    <tableColumn id="2" name="Equipamento" dataDxfId="22"/>
    <tableColumn id="3" name="Categoria" dataDxfId="21">
      <calculatedColumnFormula>IFERROR(IF(C7="","",INDEX(CadEqu!$E$7:$F$506,MATCH(tbLancamentos[[#This Row],[Equipamento]],CadEqu!$F$7:$F$506,0),1)),"")</calculatedColumnFormula>
    </tableColumn>
    <tableColumn id="4" name="Falha" dataDxfId="20"/>
    <tableColumn id="5" name="Momento da falha" dataDxfId="19"/>
    <tableColumn id="6" name="Momento do retorno" dataDxfId="18"/>
    <tableColumn id="7" name="Tempo indisponível" dataDxfId="17">
      <calculatedColumnFormula>IF(tbLancamentos[Momento da falha]="","",IF(tbLancamentos[Momento do retorno]="",NOW()-tbLancamentos[Momento da falha],tbLancamentos[Momento do retorno]-tbLancamentos[Momento da falha]))</calculatedColumnFormula>
    </tableColumn>
    <tableColumn id="8" name="Meta tempo reparo" dataDxfId="16">
      <calculatedColumnFormula>IF(tbLancamentos[[#This Row],[Momento da falha]]="","",IFERROR(VLOOKUP(tbLancamentos[[#This Row],[Equipamento]],CadEqu!$F$7:$H$506,3,FALSE),""))</calculatedColumnFormula>
    </tableColumn>
    <tableColumn id="9" name="Tempo devido" dataDxfId="15">
      <calculatedColumnFormula>IF(tbLancamentos[Tempo indisponível]="","",IF(tbLancamentos[Tempo indisponível]&lt;=tbLancamentos[Meta tempo reparo],0,tbLancamentos[Tempo indisponível]-tbLancamentos[Meta tempo reparo]))</calculatedColumnFormula>
    </tableColumn>
    <tableColumn id="11" name="Status" dataDxfId="14">
      <calculatedColumnFormula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calculatedColumnFormula>
    </tableColumn>
    <tableColumn id="10" name="Observação" dataDxfId="13"/>
    <tableColumn id="12" name="Setor" dataDxfId="12">
      <calculatedColumnFormula>IF(tbLancamentos[[#This Row],[Equipamento]]="","",IFERROR(INDEX(CadEqu!$C$7:$F$506,MATCH(tbLancamentos[[#This Row],[Equipamento]],CadEqu!$F$7:$F$506,0),1),""))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tbDisponibilidade" displayName="tbDisponibilidade" ref="B10:I510" totalsRowShown="0" headerRowDxfId="1" dataDxfId="0">
  <autoFilter ref="B10:I510"/>
  <tableColumns count="8">
    <tableColumn id="1" name="Id" dataDxfId="9">
      <calculatedColumnFormula>CadEqu!B7</calculatedColumnFormula>
    </tableColumn>
    <tableColumn id="2" name="Equipamento" dataDxfId="8">
      <calculatedColumnFormula>IF(CadEqu!F7="","",CadEqu!F7)</calculatedColumnFormula>
    </tableColumn>
    <tableColumn id="3" name="Tempo total indisponível" dataDxfId="7">
      <calculatedColumnFormula>IF(C11="","",IFERROR(IF(SUMIFS(tbLancamentos[Tempo indisponível],tbLancamentos[Equipamento],$C11,tbLancamentos[Momento da falha],"&gt;="&amp;$C$7,tbLancamentos[Momento da falha],"&lt;="&amp;$D$7)&gt;$E$7,$E$7,SUMIFS(tbLancamentos[Tempo indisponível],tbLancamentos[Equipamento],$C11,tbLancamentos[Momento da falha],"&gt;="&amp;$C$7,tbLancamentos[Momento da falha],"&lt;="&amp;$D$7)),""))</calculatedColumnFormula>
    </tableColumn>
    <tableColumn id="4" name="Total meta tempo reparo" dataDxfId="6">
      <calculatedColumnFormula>IF(C11="","",IFERROR(SUMIFS(tbLancamentos[Meta tempo reparo],tbLancamentos[Equipamento],$C11,tbLancamentos[Momento da falha],"&gt;="&amp;$C$7,tbLancamentos[Momento da falha],"&lt;="&amp;$D$7),""))</calculatedColumnFormula>
    </tableColumn>
    <tableColumn id="5" name="Tempo total devido" dataDxfId="5">
      <calculatedColumnFormula>IF(C11="","",IFERROR(SUMIFS(tbLancamentos[Tempo devido],tbLancamentos[Equipamento],$C11,tbLancamentos[Momento da falha],"&gt;="&amp;$C$7,tbLancamentos[Momento da falha],"&lt;="&amp;$D$7),""))</calculatedColumnFormula>
    </tableColumn>
    <tableColumn id="8" name="MTBF" dataDxfId="4">
      <calculatedColumnFormula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calculatedColumnFormula>
    </tableColumn>
    <tableColumn id="7" name="MTTR" dataDxfId="3">
      <calculatedColumnFormula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calculatedColumnFormula>
    </tableColumn>
    <tableColumn id="6" name="Disponibilidade" dataDxfId="2" dataCellStyle="Porcentagem">
      <calculatedColumnFormula>IF(C11="","",($E$7-(D11-E11))/$E$7)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souza.xyz/produto/controle-de-armarios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souza.xyz/produto/controle-de-consumo-de-combustivel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hyperlink" Target="https://souza.xyz/produto/controle-de-consumo-de-agua/" TargetMode="External"/><Relationship Id="rId5" Type="http://schemas.openxmlformats.org/officeDocument/2006/relationships/hyperlink" Target="https://souza.xyz/produto/planilha-de-controle-de-transporte-de-passageiros/" TargetMode="External"/><Relationship Id="rId4" Type="http://schemas.openxmlformats.org/officeDocument/2006/relationships/hyperlink" Target="https://souza.xyz/produto/planilha-controle-de-frota-de-veiculo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B1:T19"/>
  <sheetViews>
    <sheetView showGridLines="0" tabSelected="1" zoomScaleNormal="100" workbookViewId="0"/>
  </sheetViews>
  <sheetFormatPr defaultRowHeight="15" x14ac:dyDescent="0.25"/>
  <cols>
    <col min="1" max="1" width="3" style="7" customWidth="1"/>
    <col min="2" max="2" width="26" style="7" customWidth="1"/>
    <col min="3" max="3" width="37.5703125" style="7" customWidth="1"/>
    <col min="4" max="16384" width="9.140625" style="7"/>
  </cols>
  <sheetData>
    <row r="1" spans="2:20" s="3" customFormat="1" ht="30" customHeight="1" x14ac:dyDescent="0.25"/>
    <row r="2" spans="2:20" s="4" customFormat="1" ht="24.95" customHeight="1" x14ac:dyDescent="0.25"/>
    <row r="3" spans="2:20" s="5" customFormat="1" ht="20.100000000000001" customHeight="1" x14ac:dyDescent="0.25"/>
    <row r="4" spans="2:20" s="26" customFormat="1" ht="33.75" x14ac:dyDescent="0.25"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2:20" s="26" customFormat="1" ht="110.25" customHeight="1" x14ac:dyDescent="0.25">
      <c r="B5" s="27" t="s">
        <v>119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  <c r="R5" s="28"/>
      <c r="S5" s="28"/>
      <c r="T5" s="28"/>
    </row>
    <row r="6" spans="2:20" s="30" customFormat="1" ht="5.0999999999999996" customHeight="1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54" customHeight="1" x14ac:dyDescent="0.25">
      <c r="B7" s="31" t="s">
        <v>85</v>
      </c>
      <c r="C7" s="32" t="s">
        <v>87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35"/>
      <c r="Q7" s="35"/>
      <c r="R7" s="35"/>
      <c r="S7" s="35"/>
    </row>
    <row r="8" spans="2:20" ht="5.0999999999999996" customHeight="1" x14ac:dyDescent="0.25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2:20" ht="54" customHeight="1" x14ac:dyDescent="0.25">
      <c r="B9" s="31" t="s">
        <v>28</v>
      </c>
      <c r="C9" s="32" t="s">
        <v>88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  <c r="P9" s="35"/>
      <c r="Q9" s="35"/>
      <c r="R9" s="35"/>
      <c r="S9" s="35"/>
    </row>
    <row r="10" spans="2:20" ht="5.0999999999999996" customHeight="1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spans="2:20" ht="54" customHeight="1" x14ac:dyDescent="0.25">
      <c r="B11" s="31" t="s">
        <v>37</v>
      </c>
      <c r="C11" s="32" t="s">
        <v>91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4"/>
      <c r="P11" s="35"/>
      <c r="Q11" s="35"/>
      <c r="R11" s="35"/>
      <c r="S11" s="35"/>
    </row>
    <row r="12" spans="2:20" ht="5.0999999999999996" customHeight="1" x14ac:dyDescent="0.25">
      <c r="B12" s="36"/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5"/>
      <c r="R12" s="35"/>
      <c r="S12" s="35"/>
      <c r="T12" s="35"/>
    </row>
    <row r="13" spans="2:20" ht="54" customHeight="1" x14ac:dyDescent="0.25">
      <c r="B13" s="31" t="s">
        <v>74</v>
      </c>
      <c r="C13" s="32" t="s">
        <v>89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  <c r="P13" s="35"/>
      <c r="Q13" s="35"/>
      <c r="R13" s="35"/>
      <c r="S13" s="35"/>
    </row>
    <row r="14" spans="2:20" ht="5.0999999999999996" customHeight="1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2:20" ht="54" customHeight="1" x14ac:dyDescent="0.25">
      <c r="B15" s="31" t="s">
        <v>86</v>
      </c>
      <c r="C15" s="32" t="s">
        <v>90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35"/>
      <c r="Q15" s="35"/>
      <c r="R15" s="35"/>
      <c r="S15" s="35"/>
    </row>
    <row r="16" spans="2:20" ht="5.0999999999999996" customHeight="1" x14ac:dyDescent="0.25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2:20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2:20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2:20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</sheetData>
  <sheetProtection password="9004" sheet="1" objects="1" scenarios="1"/>
  <mergeCells count="6">
    <mergeCell ref="C13:N13"/>
    <mergeCell ref="C15:N15"/>
    <mergeCell ref="B5:P5"/>
    <mergeCell ref="C7:N7"/>
    <mergeCell ref="C9:N9"/>
    <mergeCell ref="C11:N11"/>
  </mergeCell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/>
  </sheetViews>
  <sheetFormatPr defaultColWidth="9" defaultRowHeight="15" x14ac:dyDescent="0.25"/>
  <cols>
    <col min="1" max="1" width="2.7109375" style="10" customWidth="1"/>
    <col min="2" max="2" width="29.42578125" style="7" customWidth="1"/>
    <col min="3" max="15" width="10.7109375" style="7" customWidth="1"/>
    <col min="16" max="16384" width="9" style="7"/>
  </cols>
  <sheetData>
    <row r="1" spans="1:15" s="3" customFormat="1" ht="30" customHeight="1" x14ac:dyDescent="0.25"/>
    <row r="2" spans="1:15" s="4" customFormat="1" ht="24.95" customHeight="1" x14ac:dyDescent="0.25"/>
    <row r="3" spans="1:15" s="5" customFormat="1" ht="20.100000000000001" customHeight="1" x14ac:dyDescent="0.25"/>
    <row r="4" spans="1:15" ht="21" x14ac:dyDescent="0.35">
      <c r="B4" s="68" t="s">
        <v>37</v>
      </c>
    </row>
    <row r="5" spans="1:15" ht="5.0999999999999996" customHeight="1" x14ac:dyDescent="0.25"/>
    <row r="6" spans="1:15" ht="20.100000000000001" customHeight="1" x14ac:dyDescent="0.25">
      <c r="B6" s="102" t="s">
        <v>38</v>
      </c>
      <c r="C6" s="114">
        <v>2022</v>
      </c>
    </row>
    <row r="7" spans="1:15" ht="5.0999999999999996" customHeight="1" x14ac:dyDescent="0.25"/>
    <row r="8" spans="1:15" ht="20.100000000000001" customHeight="1" x14ac:dyDescent="0.3">
      <c r="B8" s="103" t="s">
        <v>55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5" hidden="1" x14ac:dyDescent="0.25">
      <c r="C9" s="105">
        <f ca="1">IF($C$6="",DATE(YEAR(TODAY()),1,1),DATE($C$6,1,1))</f>
        <v>44562</v>
      </c>
      <c r="D9" s="105">
        <f ca="1">IF($C$6="",DATE(YEAR(TODAY()),2,1),DATE($C$6,2,1))</f>
        <v>44593</v>
      </c>
      <c r="E9" s="105">
        <f ca="1">IF($C$6="",DATE(YEAR(TODAY()),3,1),DATE($C$6,3,1))</f>
        <v>44621</v>
      </c>
      <c r="F9" s="105">
        <f ca="1">IF($C$6="",DATE(YEAR(TODAY()),4,1),DATE($C$6,4,1))</f>
        <v>44652</v>
      </c>
      <c r="G9" s="105">
        <f ca="1">IF($C$6="",DATE(YEAR(TODAY()),5,1),DATE($C$6,5,1))</f>
        <v>44682</v>
      </c>
      <c r="H9" s="105">
        <f ca="1">IF($C$6="",DATE(YEAR(TODAY()),6,1),DATE($C$6,6,1))</f>
        <v>44713</v>
      </c>
      <c r="I9" s="105">
        <f ca="1">IF($C$6="",DATE(YEAR(TODAY()),7,1),DATE($C$6,7,1))</f>
        <v>44743</v>
      </c>
      <c r="J9" s="105">
        <f ca="1">IF($C$6="",DATE(YEAR(TODAY()),8,1),DATE($C$6,8,1))</f>
        <v>44774</v>
      </c>
      <c r="K9" s="105">
        <f ca="1">IF($C$6="",DATE(YEAR(TODAY()),9,1),DATE($C$6,9,1))</f>
        <v>44805</v>
      </c>
      <c r="L9" s="105">
        <f ca="1">IF($C$6="",DATE(YEAR(TODAY()),10,1),DATE($C$6,10,1))</f>
        <v>44835</v>
      </c>
      <c r="M9" s="105">
        <f ca="1">IF($C$6="",DATE(YEAR(TODAY()),11,1),DATE($C$6,11,1))</f>
        <v>44866</v>
      </c>
      <c r="N9" s="105">
        <f ca="1">IF($C$6="",DATE(YEAR(TODAY()),12,1),DATE($C$6,12,1))</f>
        <v>44896</v>
      </c>
      <c r="O9" s="105">
        <f ca="1">IFERROR(EOMONTH(N9,0)+1,"")</f>
        <v>44927</v>
      </c>
    </row>
    <row r="10" spans="1:15" ht="20.100000000000001" customHeight="1" x14ac:dyDescent="0.25">
      <c r="B10" s="69" t="s">
        <v>25</v>
      </c>
      <c r="C10" s="106" t="s">
        <v>39</v>
      </c>
      <c r="D10" s="106" t="s">
        <v>40</v>
      </c>
      <c r="E10" s="106" t="s">
        <v>41</v>
      </c>
      <c r="F10" s="106" t="s">
        <v>42</v>
      </c>
      <c r="G10" s="106" t="s">
        <v>43</v>
      </c>
      <c r="H10" s="106" t="s">
        <v>44</v>
      </c>
      <c r="I10" s="106" t="s">
        <v>45</v>
      </c>
      <c r="J10" s="106" t="s">
        <v>46</v>
      </c>
      <c r="K10" s="106" t="s">
        <v>47</v>
      </c>
      <c r="L10" s="106" t="s">
        <v>48</v>
      </c>
      <c r="M10" s="106" t="s">
        <v>49</v>
      </c>
      <c r="N10" s="106" t="s">
        <v>50</v>
      </c>
      <c r="O10" s="106" t="s">
        <v>51</v>
      </c>
    </row>
    <row r="11" spans="1:15" ht="20.100000000000001" customHeight="1" x14ac:dyDescent="0.25">
      <c r="A11" s="10">
        <v>1</v>
      </c>
      <c r="B11" s="107" t="str">
        <f ca="1">IFERROR(INDEX(CadCat!$C$7:$E$16,MATCH(LARGE(CadCat!$E$7:$E$16,Res!A11),CadCat!$E$7:$E$16,0),1),"")</f>
        <v>Câmera</v>
      </c>
      <c r="C11" s="108">
        <f ca="1">IF($B11="","",IFERROR(SUMIFS(tbLancamentos[Tempo indisponível],tbLancamentos[Categoria],$B11,tbLancamentos[Momento da falha],"&gt;="&amp;C$9,tbLancamentos[Momento da falha],"&lt;"&amp;D$9),0))</f>
        <v>0.26380345476354705</v>
      </c>
      <c r="D11" s="108">
        <f ca="1">IF($B11="","",IFERROR(SUMIFS(tbLancamentos[Tempo indisponível],tbLancamentos[Categoria],$B11,tbLancamentos[Momento da falha],"&gt;="&amp;D$9,tbLancamentos[Momento da falha],"&lt;"&amp;E$9),0))</f>
        <v>0</v>
      </c>
      <c r="E11" s="108">
        <f ca="1">IF($B11="","",IFERROR(SUMIFS(tbLancamentos[Tempo indisponível],tbLancamentos[Categoria],$B11,tbLancamentos[Momento da falha],"&gt;="&amp;E$9,tbLancamentos[Momento da falha],"&lt;"&amp;F$9),0))</f>
        <v>0</v>
      </c>
      <c r="F11" s="108">
        <f ca="1">IF($B11="","",IFERROR(SUMIFS(tbLancamentos[Tempo indisponível],tbLancamentos[Categoria],$B11,tbLancamentos[Momento da falha],"&gt;="&amp;F$9,tbLancamentos[Momento da falha],"&lt;"&amp;G$9),0))</f>
        <v>0</v>
      </c>
      <c r="G11" s="108">
        <f ca="1">IF($B11="","",IFERROR(SUMIFS(tbLancamentos[Tempo indisponível],tbLancamentos[Categoria],$B11,tbLancamentos[Momento da falha],"&gt;="&amp;G$9,tbLancamentos[Momento da falha],"&lt;"&amp;H$9),0))</f>
        <v>0</v>
      </c>
      <c r="H11" s="108">
        <f ca="1">IF($B11="","",IFERROR(SUMIFS(tbLancamentos[Tempo indisponível],tbLancamentos[Categoria],$B11,tbLancamentos[Momento da falha],"&gt;="&amp;H$9,tbLancamentos[Momento da falha],"&lt;"&amp;I$9),0))</f>
        <v>0</v>
      </c>
      <c r="I11" s="108">
        <f ca="1">IF($B11="","",IFERROR(SUMIFS(tbLancamentos[Tempo indisponível],tbLancamentos[Categoria],$B11,tbLancamentos[Momento da falha],"&gt;="&amp;I$9,tbLancamentos[Momento da falha],"&lt;"&amp;J$9),0))</f>
        <v>0</v>
      </c>
      <c r="J11" s="108">
        <f ca="1">IF($B11="","",IFERROR(SUMIFS(tbLancamentos[Tempo indisponível],tbLancamentos[Categoria],$B11,tbLancamentos[Momento da falha],"&gt;="&amp;J$9,tbLancamentos[Momento da falha],"&lt;"&amp;K$9),0))</f>
        <v>0</v>
      </c>
      <c r="K11" s="108">
        <f ca="1">IF($B11="","",IFERROR(SUMIFS(tbLancamentos[Tempo indisponível],tbLancamentos[Categoria],$B11,tbLancamentos[Momento da falha],"&gt;="&amp;K$9,tbLancamentos[Momento da falha],"&lt;"&amp;L$9),0))</f>
        <v>0</v>
      </c>
      <c r="L11" s="108">
        <f ca="1">IF($B11="","",IFERROR(SUMIFS(tbLancamentos[Tempo indisponível],tbLancamentos[Categoria],$B11,tbLancamentos[Momento da falha],"&gt;="&amp;L$9,tbLancamentos[Momento da falha],"&lt;"&amp;M$9),0))</f>
        <v>0</v>
      </c>
      <c r="M11" s="108">
        <f ca="1">IF($B11="","",IFERROR(SUMIFS(tbLancamentos[Tempo indisponível],tbLancamentos[Categoria],$B11,tbLancamentos[Momento da falha],"&gt;="&amp;M$9,tbLancamentos[Momento da falha],"&lt;"&amp;N$9),0))</f>
        <v>0</v>
      </c>
      <c r="N11" s="108">
        <f ca="1">IF($B11="","",IFERROR(SUMIFS(tbLancamentos[Tempo indisponível],tbLancamentos[Categoria],$B11,tbLancamentos[Momento da falha],"&gt;="&amp;N$9,tbLancamentos[Momento da falha],"&lt;"&amp;O$9),0))</f>
        <v>0</v>
      </c>
      <c r="O11" s="109">
        <f ca="1">IF(B11="","",SUM(C11:N11))</f>
        <v>0.26380345476354705</v>
      </c>
    </row>
    <row r="12" spans="1:15" ht="20.100000000000001" customHeight="1" x14ac:dyDescent="0.25">
      <c r="A12" s="10">
        <v>2</v>
      </c>
      <c r="B12" s="107" t="str">
        <f ca="1">IFERROR(INDEX(CadCat!$C$7:$E$16,MATCH(LARGE(CadCat!$E$7:$E$16,Res!A12),CadCat!$E$7:$E$16,0),1),"")</f>
        <v>Sensor</v>
      </c>
      <c r="C12" s="108">
        <f ca="1">IF($B12="","",IFERROR(SUMIFS(tbLancamentos[Tempo indisponível],tbLancamentos[Categoria],$B12,tbLancamentos[Momento da falha],"&gt;="&amp;C$9,tbLancamentos[Momento da falha],"&lt;"&amp;D$9),0))</f>
        <v>0</v>
      </c>
      <c r="D12" s="108">
        <f ca="1">IF($B12="","",IFERROR(SUMIFS(tbLancamentos[Tempo indisponível],tbLancamentos[Categoria],$B12,tbLancamentos[Momento da falha],"&gt;="&amp;D$9,tbLancamentos[Momento da falha],"&lt;"&amp;E$9),0))</f>
        <v>0</v>
      </c>
      <c r="E12" s="108">
        <f ca="1">IF($B12="","",IFERROR(SUMIFS(tbLancamentos[Tempo indisponível],tbLancamentos[Categoria],$B12,tbLancamentos[Momento da falha],"&gt;="&amp;E$9,tbLancamentos[Momento da falha],"&lt;"&amp;F$9),0))</f>
        <v>0</v>
      </c>
      <c r="F12" s="108">
        <f ca="1">IF($B12="","",IFERROR(SUMIFS(tbLancamentos[Tempo indisponível],tbLancamentos[Categoria],$B12,tbLancamentos[Momento da falha],"&gt;="&amp;F$9,tbLancamentos[Momento da falha],"&lt;"&amp;G$9),0))</f>
        <v>0</v>
      </c>
      <c r="G12" s="108">
        <f ca="1">IF($B12="","",IFERROR(SUMIFS(tbLancamentos[Tempo indisponível],tbLancamentos[Categoria],$B12,tbLancamentos[Momento da falha],"&gt;="&amp;G$9,tbLancamentos[Momento da falha],"&lt;"&amp;H$9),0))</f>
        <v>0</v>
      </c>
      <c r="H12" s="108">
        <f ca="1">IF($B12="","",IFERROR(SUMIFS(tbLancamentos[Tempo indisponível],tbLancamentos[Categoria],$B12,tbLancamentos[Momento da falha],"&gt;="&amp;H$9,tbLancamentos[Momento da falha],"&lt;"&amp;I$9),0))</f>
        <v>0</v>
      </c>
      <c r="I12" s="108">
        <f ca="1">IF($B12="","",IFERROR(SUMIFS(tbLancamentos[Tempo indisponível],tbLancamentos[Categoria],$B12,tbLancamentos[Momento da falha],"&gt;="&amp;I$9,tbLancamentos[Momento da falha],"&lt;"&amp;J$9),0))</f>
        <v>0</v>
      </c>
      <c r="J12" s="108">
        <f ca="1">IF($B12="","",IFERROR(SUMIFS(tbLancamentos[Tempo indisponível],tbLancamentos[Categoria],$B12,tbLancamentos[Momento da falha],"&gt;="&amp;J$9,tbLancamentos[Momento da falha],"&lt;"&amp;K$9),0))</f>
        <v>0</v>
      </c>
      <c r="K12" s="108">
        <f ca="1">IF($B12="","",IFERROR(SUMIFS(tbLancamentos[Tempo indisponível],tbLancamentos[Categoria],$B12,tbLancamentos[Momento da falha],"&gt;="&amp;K$9,tbLancamentos[Momento da falha],"&lt;"&amp;L$9),0))</f>
        <v>0</v>
      </c>
      <c r="L12" s="108">
        <f ca="1">IF($B12="","",IFERROR(SUMIFS(tbLancamentos[Tempo indisponível],tbLancamentos[Categoria],$B12,tbLancamentos[Momento da falha],"&gt;="&amp;L$9,tbLancamentos[Momento da falha],"&lt;"&amp;M$9),0))</f>
        <v>0</v>
      </c>
      <c r="M12" s="108">
        <f ca="1">IF($B12="","",IFERROR(SUMIFS(tbLancamentos[Tempo indisponível],tbLancamentos[Categoria],$B12,tbLancamentos[Momento da falha],"&gt;="&amp;M$9,tbLancamentos[Momento da falha],"&lt;"&amp;N$9),0))</f>
        <v>0</v>
      </c>
      <c r="N12" s="108">
        <f ca="1">IF($B12="","",IFERROR(SUMIFS(tbLancamentos[Tempo indisponível],tbLancamentos[Categoria],$B12,tbLancamentos[Momento da falha],"&gt;="&amp;N$9,tbLancamentos[Momento da falha],"&lt;"&amp;O$9),0))</f>
        <v>0</v>
      </c>
      <c r="O12" s="109">
        <f t="shared" ref="O12:O20" ca="1" si="0">IF(B12="","",SUM(C12:N12))</f>
        <v>0</v>
      </c>
    </row>
    <row r="13" spans="1:15" ht="20.100000000000001" customHeight="1" x14ac:dyDescent="0.25">
      <c r="A13" s="10">
        <v>3</v>
      </c>
      <c r="B13" s="107" t="str">
        <f ca="1">IFERROR(INDEX(CadCat!$C$7:$E$16,MATCH(LARGE(CadCat!$E$7:$E$16,Res!A13),CadCat!$E$7:$E$16,0),1),"")</f>
        <v>Central de alarme</v>
      </c>
      <c r="C13" s="108">
        <f ca="1">IF($B13="","",IFERROR(SUMIFS(tbLancamentos[Tempo indisponível],tbLancamentos[Categoria],$B13,tbLancamentos[Momento da falha],"&gt;="&amp;C$9,tbLancamentos[Momento da falha],"&lt;"&amp;D$9),0))</f>
        <v>0</v>
      </c>
      <c r="D13" s="108">
        <f ca="1">IF($B13="","",IFERROR(SUMIFS(tbLancamentos[Tempo indisponível],tbLancamentos[Categoria],$B13,tbLancamentos[Momento da falha],"&gt;="&amp;D$9,tbLancamentos[Momento da falha],"&lt;"&amp;E$9),0))</f>
        <v>0</v>
      </c>
      <c r="E13" s="108">
        <f ca="1">IF($B13="","",IFERROR(SUMIFS(tbLancamentos[Tempo indisponível],tbLancamentos[Categoria],$B13,tbLancamentos[Momento da falha],"&gt;="&amp;E$9,tbLancamentos[Momento da falha],"&lt;"&amp;F$9),0))</f>
        <v>0</v>
      </c>
      <c r="F13" s="108">
        <f ca="1">IF($B13="","",IFERROR(SUMIFS(tbLancamentos[Tempo indisponível],tbLancamentos[Categoria],$B13,tbLancamentos[Momento da falha],"&gt;="&amp;F$9,tbLancamentos[Momento da falha],"&lt;"&amp;G$9),0))</f>
        <v>0</v>
      </c>
      <c r="G13" s="108">
        <f ca="1">IF($B13="","",IFERROR(SUMIFS(tbLancamentos[Tempo indisponível],tbLancamentos[Categoria],$B13,tbLancamentos[Momento da falha],"&gt;="&amp;G$9,tbLancamentos[Momento da falha],"&lt;"&amp;H$9),0))</f>
        <v>0</v>
      </c>
      <c r="H13" s="108">
        <f ca="1">IF($B13="","",IFERROR(SUMIFS(tbLancamentos[Tempo indisponível],tbLancamentos[Categoria],$B13,tbLancamentos[Momento da falha],"&gt;="&amp;H$9,tbLancamentos[Momento da falha],"&lt;"&amp;I$9),0))</f>
        <v>0</v>
      </c>
      <c r="I13" s="108">
        <f ca="1">IF($B13="","",IFERROR(SUMIFS(tbLancamentos[Tempo indisponível],tbLancamentos[Categoria],$B13,tbLancamentos[Momento da falha],"&gt;="&amp;I$9,tbLancamentos[Momento da falha],"&lt;"&amp;J$9),0))</f>
        <v>0</v>
      </c>
      <c r="J13" s="108">
        <f ca="1">IF($B13="","",IFERROR(SUMIFS(tbLancamentos[Tempo indisponível],tbLancamentos[Categoria],$B13,tbLancamentos[Momento da falha],"&gt;="&amp;J$9,tbLancamentos[Momento da falha],"&lt;"&amp;K$9),0))</f>
        <v>0</v>
      </c>
      <c r="K13" s="108">
        <f ca="1">IF($B13="","",IFERROR(SUMIFS(tbLancamentos[Tempo indisponível],tbLancamentos[Categoria],$B13,tbLancamentos[Momento da falha],"&gt;="&amp;K$9,tbLancamentos[Momento da falha],"&lt;"&amp;L$9),0))</f>
        <v>0</v>
      </c>
      <c r="L13" s="108">
        <f ca="1">IF($B13="","",IFERROR(SUMIFS(tbLancamentos[Tempo indisponível],tbLancamentos[Categoria],$B13,tbLancamentos[Momento da falha],"&gt;="&amp;L$9,tbLancamentos[Momento da falha],"&lt;"&amp;M$9),0))</f>
        <v>0</v>
      </c>
      <c r="M13" s="108">
        <f ca="1">IF($B13="","",IFERROR(SUMIFS(tbLancamentos[Tempo indisponível],tbLancamentos[Categoria],$B13,tbLancamentos[Momento da falha],"&gt;="&amp;M$9,tbLancamentos[Momento da falha],"&lt;"&amp;N$9),0))</f>
        <v>0</v>
      </c>
      <c r="N13" s="108">
        <f ca="1">IF($B13="","",IFERROR(SUMIFS(tbLancamentos[Tempo indisponível],tbLancamentos[Categoria],$B13,tbLancamentos[Momento da falha],"&gt;="&amp;N$9,tbLancamentos[Momento da falha],"&lt;"&amp;O$9),0))</f>
        <v>0</v>
      </c>
      <c r="O13" s="109">
        <f t="shared" ca="1" si="0"/>
        <v>0</v>
      </c>
    </row>
    <row r="14" spans="1:15" ht="20.100000000000001" customHeight="1" x14ac:dyDescent="0.25">
      <c r="A14" s="10">
        <v>4</v>
      </c>
      <c r="B14" s="107" t="str">
        <f ca="1">IFERROR(INDEX(CadCat!$C$7:$E$16,MATCH(LARGE(CadCat!$E$7:$E$16,Res!A14),CadCat!$E$7:$E$16,0),1),"")</f>
        <v>Servidor</v>
      </c>
      <c r="C14" s="108">
        <f ca="1">IF($B14="","",IFERROR(SUMIFS(tbLancamentos[Tempo indisponível],tbLancamentos[Categoria],$B14,tbLancamentos[Momento da falha],"&gt;="&amp;C$9,tbLancamentos[Momento da falha],"&lt;"&amp;D$9),0))</f>
        <v>0</v>
      </c>
      <c r="D14" s="108">
        <f ca="1">IF($B14="","",IFERROR(SUMIFS(tbLancamentos[Tempo indisponível],tbLancamentos[Categoria],$B14,tbLancamentos[Momento da falha],"&gt;="&amp;D$9,tbLancamentos[Momento da falha],"&lt;"&amp;E$9),0))</f>
        <v>0</v>
      </c>
      <c r="E14" s="108">
        <f ca="1">IF($B14="","",IFERROR(SUMIFS(tbLancamentos[Tempo indisponível],tbLancamentos[Categoria],$B14,tbLancamentos[Momento da falha],"&gt;="&amp;E$9,tbLancamentos[Momento da falha],"&lt;"&amp;F$9),0))</f>
        <v>0</v>
      </c>
      <c r="F14" s="108">
        <f ca="1">IF($B14="","",IFERROR(SUMIFS(tbLancamentos[Tempo indisponível],tbLancamentos[Categoria],$B14,tbLancamentos[Momento da falha],"&gt;="&amp;F$9,tbLancamentos[Momento da falha],"&lt;"&amp;G$9),0))</f>
        <v>0</v>
      </c>
      <c r="G14" s="108">
        <f ca="1">IF($B14="","",IFERROR(SUMIFS(tbLancamentos[Tempo indisponível],tbLancamentos[Categoria],$B14,tbLancamentos[Momento da falha],"&gt;="&amp;G$9,tbLancamentos[Momento da falha],"&lt;"&amp;H$9),0))</f>
        <v>0</v>
      </c>
      <c r="H14" s="108">
        <f ca="1">IF($B14="","",IFERROR(SUMIFS(tbLancamentos[Tempo indisponível],tbLancamentos[Categoria],$B14,tbLancamentos[Momento da falha],"&gt;="&amp;H$9,tbLancamentos[Momento da falha],"&lt;"&amp;I$9),0))</f>
        <v>0</v>
      </c>
      <c r="I14" s="108">
        <f ca="1">IF($B14="","",IFERROR(SUMIFS(tbLancamentos[Tempo indisponível],tbLancamentos[Categoria],$B14,tbLancamentos[Momento da falha],"&gt;="&amp;I$9,tbLancamentos[Momento da falha],"&lt;"&amp;J$9),0))</f>
        <v>0</v>
      </c>
      <c r="J14" s="108">
        <f ca="1">IF($B14="","",IFERROR(SUMIFS(tbLancamentos[Tempo indisponível],tbLancamentos[Categoria],$B14,tbLancamentos[Momento da falha],"&gt;="&amp;J$9,tbLancamentos[Momento da falha],"&lt;"&amp;K$9),0))</f>
        <v>0</v>
      </c>
      <c r="K14" s="108">
        <f ca="1">IF($B14="","",IFERROR(SUMIFS(tbLancamentos[Tempo indisponível],tbLancamentos[Categoria],$B14,tbLancamentos[Momento da falha],"&gt;="&amp;K$9,tbLancamentos[Momento da falha],"&lt;"&amp;L$9),0))</f>
        <v>0</v>
      </c>
      <c r="L14" s="108">
        <f ca="1">IF($B14="","",IFERROR(SUMIFS(tbLancamentos[Tempo indisponível],tbLancamentos[Categoria],$B14,tbLancamentos[Momento da falha],"&gt;="&amp;L$9,tbLancamentos[Momento da falha],"&lt;"&amp;M$9),0))</f>
        <v>0</v>
      </c>
      <c r="M14" s="108">
        <f ca="1">IF($B14="","",IFERROR(SUMIFS(tbLancamentos[Tempo indisponível],tbLancamentos[Categoria],$B14,tbLancamentos[Momento da falha],"&gt;="&amp;M$9,tbLancamentos[Momento da falha],"&lt;"&amp;N$9),0))</f>
        <v>0</v>
      </c>
      <c r="N14" s="108">
        <f ca="1">IF($B14="","",IFERROR(SUMIFS(tbLancamentos[Tempo indisponível],tbLancamentos[Categoria],$B14,tbLancamentos[Momento da falha],"&gt;="&amp;N$9,tbLancamentos[Momento da falha],"&lt;"&amp;O$9),0))</f>
        <v>0</v>
      </c>
      <c r="O14" s="109">
        <f t="shared" ca="1" si="0"/>
        <v>0</v>
      </c>
    </row>
    <row r="15" spans="1:15" ht="20.100000000000001" customHeight="1" x14ac:dyDescent="0.25">
      <c r="A15" s="10">
        <v>5</v>
      </c>
      <c r="B15" s="107" t="str">
        <f ca="1">IFERROR(INDEX(CadCat!$C$7:$E$16,MATCH(LARGE(CadCat!$E$7:$E$16,Res!A15),CadCat!$E$7:$E$16,0),1),"")</f>
        <v>DVR</v>
      </c>
      <c r="C15" s="108">
        <f ca="1">IF($B15="","",IFERROR(SUMIFS(tbLancamentos[Tempo indisponível],tbLancamentos[Categoria],$B15,tbLancamentos[Momento da falha],"&gt;="&amp;C$9,tbLancamentos[Momento da falha],"&lt;"&amp;D$9),0))</f>
        <v>0</v>
      </c>
      <c r="D15" s="108">
        <f ca="1">IF($B15="","",IFERROR(SUMIFS(tbLancamentos[Tempo indisponível],tbLancamentos[Categoria],$B15,tbLancamentos[Momento da falha],"&gt;="&amp;D$9,tbLancamentos[Momento da falha],"&lt;"&amp;E$9),0))</f>
        <v>0</v>
      </c>
      <c r="E15" s="108">
        <f ca="1">IF($B15="","",IFERROR(SUMIFS(tbLancamentos[Tempo indisponível],tbLancamentos[Categoria],$B15,tbLancamentos[Momento da falha],"&gt;="&amp;E$9,tbLancamentos[Momento da falha],"&lt;"&amp;F$9),0))</f>
        <v>0</v>
      </c>
      <c r="F15" s="108">
        <f ca="1">IF($B15="","",IFERROR(SUMIFS(tbLancamentos[Tempo indisponível],tbLancamentos[Categoria],$B15,tbLancamentos[Momento da falha],"&gt;="&amp;F$9,tbLancamentos[Momento da falha],"&lt;"&amp;G$9),0))</f>
        <v>0</v>
      </c>
      <c r="G15" s="108">
        <f ca="1">IF($B15="","",IFERROR(SUMIFS(tbLancamentos[Tempo indisponível],tbLancamentos[Categoria],$B15,tbLancamentos[Momento da falha],"&gt;="&amp;G$9,tbLancamentos[Momento da falha],"&lt;"&amp;H$9),0))</f>
        <v>0</v>
      </c>
      <c r="H15" s="108">
        <f ca="1">IF($B15="","",IFERROR(SUMIFS(tbLancamentos[Tempo indisponível],tbLancamentos[Categoria],$B15,tbLancamentos[Momento da falha],"&gt;="&amp;H$9,tbLancamentos[Momento da falha],"&lt;"&amp;I$9),0))</f>
        <v>0</v>
      </c>
      <c r="I15" s="108">
        <f ca="1">IF($B15="","",IFERROR(SUMIFS(tbLancamentos[Tempo indisponível],tbLancamentos[Categoria],$B15,tbLancamentos[Momento da falha],"&gt;="&amp;I$9,tbLancamentos[Momento da falha],"&lt;"&amp;J$9),0))</f>
        <v>0</v>
      </c>
      <c r="J15" s="108">
        <f ca="1">IF($B15="","",IFERROR(SUMIFS(tbLancamentos[Tempo indisponível],tbLancamentos[Categoria],$B15,tbLancamentos[Momento da falha],"&gt;="&amp;J$9,tbLancamentos[Momento da falha],"&lt;"&amp;K$9),0))</f>
        <v>0</v>
      </c>
      <c r="K15" s="108">
        <f ca="1">IF($B15="","",IFERROR(SUMIFS(tbLancamentos[Tempo indisponível],tbLancamentos[Categoria],$B15,tbLancamentos[Momento da falha],"&gt;="&amp;K$9,tbLancamentos[Momento da falha],"&lt;"&amp;L$9),0))</f>
        <v>0</v>
      </c>
      <c r="L15" s="108">
        <f ca="1">IF($B15="","",IFERROR(SUMIFS(tbLancamentos[Tempo indisponível],tbLancamentos[Categoria],$B15,tbLancamentos[Momento da falha],"&gt;="&amp;L$9,tbLancamentos[Momento da falha],"&lt;"&amp;M$9),0))</f>
        <v>0</v>
      </c>
      <c r="M15" s="108">
        <f ca="1">IF($B15="","",IFERROR(SUMIFS(tbLancamentos[Tempo indisponível],tbLancamentos[Categoria],$B15,tbLancamentos[Momento da falha],"&gt;="&amp;M$9,tbLancamentos[Momento da falha],"&lt;"&amp;N$9),0))</f>
        <v>0</v>
      </c>
      <c r="N15" s="108">
        <f ca="1">IF($B15="","",IFERROR(SUMIFS(tbLancamentos[Tempo indisponível],tbLancamentos[Categoria],$B15,tbLancamentos[Momento da falha],"&gt;="&amp;N$9,tbLancamentos[Momento da falha],"&lt;"&amp;O$9),0))</f>
        <v>0</v>
      </c>
      <c r="O15" s="109">
        <f t="shared" ca="1" si="0"/>
        <v>0</v>
      </c>
    </row>
    <row r="16" spans="1:15" ht="20.100000000000001" customHeight="1" x14ac:dyDescent="0.25">
      <c r="A16" s="10">
        <v>6</v>
      </c>
      <c r="B16" s="107" t="str">
        <f ca="1">IFERROR(INDEX(CadCat!$C$7:$E$16,MATCH(LARGE(CadCat!$E$7:$E$16,Res!A16),CadCat!$E$7:$E$16,0),1),"")</f>
        <v/>
      </c>
      <c r="C16" s="108" t="str">
        <f ca="1">IF($B16="","",IFERROR(SUMIFS(tbLancamentos[Tempo indisponível],tbLancamentos[Categoria],$B16,tbLancamentos[Momento da falha],"&gt;="&amp;C$9,tbLancamentos[Momento da falha],"&lt;"&amp;D$9),0))</f>
        <v/>
      </c>
      <c r="D16" s="108" t="str">
        <f ca="1">IF($B16="","",IFERROR(SUMIFS(tbLancamentos[Tempo indisponível],tbLancamentos[Categoria],$B16,tbLancamentos[Momento da falha],"&gt;="&amp;D$9,tbLancamentos[Momento da falha],"&lt;"&amp;E$9),0))</f>
        <v/>
      </c>
      <c r="E16" s="108" t="str">
        <f ca="1">IF($B16="","",IFERROR(SUMIFS(tbLancamentos[Tempo indisponível],tbLancamentos[Categoria],$B16,tbLancamentos[Momento da falha],"&gt;="&amp;E$9,tbLancamentos[Momento da falha],"&lt;"&amp;F$9),0))</f>
        <v/>
      </c>
      <c r="F16" s="108" t="str">
        <f ca="1">IF($B16="","",IFERROR(SUMIFS(tbLancamentos[Tempo indisponível],tbLancamentos[Categoria],$B16,tbLancamentos[Momento da falha],"&gt;="&amp;F$9,tbLancamentos[Momento da falha],"&lt;"&amp;G$9),0))</f>
        <v/>
      </c>
      <c r="G16" s="108" t="str">
        <f ca="1">IF($B16="","",IFERROR(SUMIFS(tbLancamentos[Tempo indisponível],tbLancamentos[Categoria],$B16,tbLancamentos[Momento da falha],"&gt;="&amp;G$9,tbLancamentos[Momento da falha],"&lt;"&amp;H$9),0))</f>
        <v/>
      </c>
      <c r="H16" s="108" t="str">
        <f ca="1">IF($B16="","",IFERROR(SUMIFS(tbLancamentos[Tempo indisponível],tbLancamentos[Categoria],$B16,tbLancamentos[Momento da falha],"&gt;="&amp;H$9,tbLancamentos[Momento da falha],"&lt;"&amp;I$9),0))</f>
        <v/>
      </c>
      <c r="I16" s="108" t="str">
        <f ca="1">IF($B16="","",IFERROR(SUMIFS(tbLancamentos[Tempo indisponível],tbLancamentos[Categoria],$B16,tbLancamentos[Momento da falha],"&gt;="&amp;I$9,tbLancamentos[Momento da falha],"&lt;"&amp;J$9),0))</f>
        <v/>
      </c>
      <c r="J16" s="108" t="str">
        <f ca="1">IF($B16="","",IFERROR(SUMIFS(tbLancamentos[Tempo indisponível],tbLancamentos[Categoria],$B16,tbLancamentos[Momento da falha],"&gt;="&amp;J$9,tbLancamentos[Momento da falha],"&lt;"&amp;K$9),0))</f>
        <v/>
      </c>
      <c r="K16" s="108" t="str">
        <f ca="1">IF($B16="","",IFERROR(SUMIFS(tbLancamentos[Tempo indisponível],tbLancamentos[Categoria],$B16,tbLancamentos[Momento da falha],"&gt;="&amp;K$9,tbLancamentos[Momento da falha],"&lt;"&amp;L$9),0))</f>
        <v/>
      </c>
      <c r="L16" s="108" t="str">
        <f ca="1">IF($B16="","",IFERROR(SUMIFS(tbLancamentos[Tempo indisponível],tbLancamentos[Categoria],$B16,tbLancamentos[Momento da falha],"&gt;="&amp;L$9,tbLancamentos[Momento da falha],"&lt;"&amp;M$9),0))</f>
        <v/>
      </c>
      <c r="M16" s="108" t="str">
        <f ca="1">IF($B16="","",IFERROR(SUMIFS(tbLancamentos[Tempo indisponível],tbLancamentos[Categoria],$B16,tbLancamentos[Momento da falha],"&gt;="&amp;M$9,tbLancamentos[Momento da falha],"&lt;"&amp;N$9),0))</f>
        <v/>
      </c>
      <c r="N16" s="108" t="str">
        <f ca="1">IF($B16="","",IFERROR(SUMIFS(tbLancamentos[Tempo indisponível],tbLancamentos[Categoria],$B16,tbLancamentos[Momento da falha],"&gt;="&amp;N$9,tbLancamentos[Momento da falha],"&lt;"&amp;O$9),0))</f>
        <v/>
      </c>
      <c r="O16" s="109" t="str">
        <f t="shared" ca="1" si="0"/>
        <v/>
      </c>
    </row>
    <row r="17" spans="1:15" ht="20.100000000000001" customHeight="1" x14ac:dyDescent="0.25">
      <c r="A17" s="10">
        <v>7</v>
      </c>
      <c r="B17" s="107" t="str">
        <f ca="1">IFERROR(INDEX(CadCat!$C$7:$E$16,MATCH(LARGE(CadCat!$E$7:$E$16,Res!A17),CadCat!$E$7:$E$16,0),1),"")</f>
        <v/>
      </c>
      <c r="C17" s="108" t="str">
        <f ca="1">IF($B17="","",IFERROR(SUMIFS(tbLancamentos[Tempo indisponível],tbLancamentos[Categoria],$B17,tbLancamentos[Momento da falha],"&gt;="&amp;C$9,tbLancamentos[Momento da falha],"&lt;"&amp;D$9),0))</f>
        <v/>
      </c>
      <c r="D17" s="108" t="str">
        <f ca="1">IF($B17="","",IFERROR(SUMIFS(tbLancamentos[Tempo indisponível],tbLancamentos[Categoria],$B17,tbLancamentos[Momento da falha],"&gt;="&amp;D$9,tbLancamentos[Momento da falha],"&lt;"&amp;E$9),0))</f>
        <v/>
      </c>
      <c r="E17" s="108" t="str">
        <f ca="1">IF($B17="","",IFERROR(SUMIFS(tbLancamentos[Tempo indisponível],tbLancamentos[Categoria],$B17,tbLancamentos[Momento da falha],"&gt;="&amp;E$9,tbLancamentos[Momento da falha],"&lt;"&amp;F$9),0))</f>
        <v/>
      </c>
      <c r="F17" s="108" t="str">
        <f ca="1">IF($B17="","",IFERROR(SUMIFS(tbLancamentos[Tempo indisponível],tbLancamentos[Categoria],$B17,tbLancamentos[Momento da falha],"&gt;="&amp;F$9,tbLancamentos[Momento da falha],"&lt;"&amp;G$9),0))</f>
        <v/>
      </c>
      <c r="G17" s="108" t="str">
        <f ca="1">IF($B17="","",IFERROR(SUMIFS(tbLancamentos[Tempo indisponível],tbLancamentos[Categoria],$B17,tbLancamentos[Momento da falha],"&gt;="&amp;G$9,tbLancamentos[Momento da falha],"&lt;"&amp;H$9),0))</f>
        <v/>
      </c>
      <c r="H17" s="108" t="str">
        <f ca="1">IF($B17="","",IFERROR(SUMIFS(tbLancamentos[Tempo indisponível],tbLancamentos[Categoria],$B17,tbLancamentos[Momento da falha],"&gt;="&amp;H$9,tbLancamentos[Momento da falha],"&lt;"&amp;I$9),0))</f>
        <v/>
      </c>
      <c r="I17" s="108" t="str">
        <f ca="1">IF($B17="","",IFERROR(SUMIFS(tbLancamentos[Tempo indisponível],tbLancamentos[Categoria],$B17,tbLancamentos[Momento da falha],"&gt;="&amp;I$9,tbLancamentos[Momento da falha],"&lt;"&amp;J$9),0))</f>
        <v/>
      </c>
      <c r="J17" s="108" t="str">
        <f ca="1">IF($B17="","",IFERROR(SUMIFS(tbLancamentos[Tempo indisponível],tbLancamentos[Categoria],$B17,tbLancamentos[Momento da falha],"&gt;="&amp;J$9,tbLancamentos[Momento da falha],"&lt;"&amp;K$9),0))</f>
        <v/>
      </c>
      <c r="K17" s="108" t="str">
        <f ca="1">IF($B17="","",IFERROR(SUMIFS(tbLancamentos[Tempo indisponível],tbLancamentos[Categoria],$B17,tbLancamentos[Momento da falha],"&gt;="&amp;K$9,tbLancamentos[Momento da falha],"&lt;"&amp;L$9),0))</f>
        <v/>
      </c>
      <c r="L17" s="108" t="str">
        <f ca="1">IF($B17="","",IFERROR(SUMIFS(tbLancamentos[Tempo indisponível],tbLancamentos[Categoria],$B17,tbLancamentos[Momento da falha],"&gt;="&amp;L$9,tbLancamentos[Momento da falha],"&lt;"&amp;M$9),0))</f>
        <v/>
      </c>
      <c r="M17" s="108" t="str">
        <f ca="1">IF($B17="","",IFERROR(SUMIFS(tbLancamentos[Tempo indisponível],tbLancamentos[Categoria],$B17,tbLancamentos[Momento da falha],"&gt;="&amp;M$9,tbLancamentos[Momento da falha],"&lt;"&amp;N$9),0))</f>
        <v/>
      </c>
      <c r="N17" s="108" t="str">
        <f ca="1">IF($B17="","",IFERROR(SUMIFS(tbLancamentos[Tempo indisponível],tbLancamentos[Categoria],$B17,tbLancamentos[Momento da falha],"&gt;="&amp;N$9,tbLancamentos[Momento da falha],"&lt;"&amp;O$9),0))</f>
        <v/>
      </c>
      <c r="O17" s="109" t="str">
        <f t="shared" ca="1" si="0"/>
        <v/>
      </c>
    </row>
    <row r="18" spans="1:15" ht="20.100000000000001" customHeight="1" x14ac:dyDescent="0.25">
      <c r="A18" s="10">
        <v>8</v>
      </c>
      <c r="B18" s="107" t="str">
        <f ca="1">IFERROR(INDEX(CadCat!$C$7:$E$16,MATCH(LARGE(CadCat!$E$7:$E$16,Res!A18),CadCat!$E$7:$E$16,0),1),"")</f>
        <v/>
      </c>
      <c r="C18" s="108" t="str">
        <f ca="1">IF($B18="","",IFERROR(SUMIFS(tbLancamentos[Tempo indisponível],tbLancamentos[Categoria],$B18,tbLancamentos[Momento da falha],"&gt;="&amp;C$9,tbLancamentos[Momento da falha],"&lt;"&amp;D$9),0))</f>
        <v/>
      </c>
      <c r="D18" s="108" t="str">
        <f ca="1">IF($B18="","",IFERROR(SUMIFS(tbLancamentos[Tempo indisponível],tbLancamentos[Categoria],$B18,tbLancamentos[Momento da falha],"&gt;="&amp;D$9,tbLancamentos[Momento da falha],"&lt;"&amp;E$9),0))</f>
        <v/>
      </c>
      <c r="E18" s="108" t="str">
        <f ca="1">IF($B18="","",IFERROR(SUMIFS(tbLancamentos[Tempo indisponível],tbLancamentos[Categoria],$B18,tbLancamentos[Momento da falha],"&gt;="&amp;E$9,tbLancamentos[Momento da falha],"&lt;"&amp;F$9),0))</f>
        <v/>
      </c>
      <c r="F18" s="108" t="str">
        <f ca="1">IF($B18="","",IFERROR(SUMIFS(tbLancamentos[Tempo indisponível],tbLancamentos[Categoria],$B18,tbLancamentos[Momento da falha],"&gt;="&amp;F$9,tbLancamentos[Momento da falha],"&lt;"&amp;G$9),0))</f>
        <v/>
      </c>
      <c r="G18" s="108" t="str">
        <f ca="1">IF($B18="","",IFERROR(SUMIFS(tbLancamentos[Tempo indisponível],tbLancamentos[Categoria],$B18,tbLancamentos[Momento da falha],"&gt;="&amp;G$9,tbLancamentos[Momento da falha],"&lt;"&amp;H$9),0))</f>
        <v/>
      </c>
      <c r="H18" s="108" t="str">
        <f ca="1">IF($B18="","",IFERROR(SUMIFS(tbLancamentos[Tempo indisponível],tbLancamentos[Categoria],$B18,tbLancamentos[Momento da falha],"&gt;="&amp;H$9,tbLancamentos[Momento da falha],"&lt;"&amp;I$9),0))</f>
        <v/>
      </c>
      <c r="I18" s="108" t="str">
        <f ca="1">IF($B18="","",IFERROR(SUMIFS(tbLancamentos[Tempo indisponível],tbLancamentos[Categoria],$B18,tbLancamentos[Momento da falha],"&gt;="&amp;I$9,tbLancamentos[Momento da falha],"&lt;"&amp;J$9),0))</f>
        <v/>
      </c>
      <c r="J18" s="108" t="str">
        <f ca="1">IF($B18="","",IFERROR(SUMIFS(tbLancamentos[Tempo indisponível],tbLancamentos[Categoria],$B18,tbLancamentos[Momento da falha],"&gt;="&amp;J$9,tbLancamentos[Momento da falha],"&lt;"&amp;K$9),0))</f>
        <v/>
      </c>
      <c r="K18" s="108" t="str">
        <f ca="1">IF($B18="","",IFERROR(SUMIFS(tbLancamentos[Tempo indisponível],tbLancamentos[Categoria],$B18,tbLancamentos[Momento da falha],"&gt;="&amp;K$9,tbLancamentos[Momento da falha],"&lt;"&amp;L$9),0))</f>
        <v/>
      </c>
      <c r="L18" s="108" t="str">
        <f ca="1">IF($B18="","",IFERROR(SUMIFS(tbLancamentos[Tempo indisponível],tbLancamentos[Categoria],$B18,tbLancamentos[Momento da falha],"&gt;="&amp;L$9,tbLancamentos[Momento da falha],"&lt;"&amp;M$9),0))</f>
        <v/>
      </c>
      <c r="M18" s="108" t="str">
        <f ca="1">IF($B18="","",IFERROR(SUMIFS(tbLancamentos[Tempo indisponível],tbLancamentos[Categoria],$B18,tbLancamentos[Momento da falha],"&gt;="&amp;M$9,tbLancamentos[Momento da falha],"&lt;"&amp;N$9),0))</f>
        <v/>
      </c>
      <c r="N18" s="108" t="str">
        <f ca="1">IF($B18="","",IFERROR(SUMIFS(tbLancamentos[Tempo indisponível],tbLancamentos[Categoria],$B18,tbLancamentos[Momento da falha],"&gt;="&amp;N$9,tbLancamentos[Momento da falha],"&lt;"&amp;O$9),0))</f>
        <v/>
      </c>
      <c r="O18" s="109" t="str">
        <f t="shared" ca="1" si="0"/>
        <v/>
      </c>
    </row>
    <row r="19" spans="1:15" ht="20.100000000000001" customHeight="1" x14ac:dyDescent="0.25">
      <c r="A19" s="10">
        <v>9</v>
      </c>
      <c r="B19" s="107" t="str">
        <f ca="1">IFERROR(INDEX(CadCat!$C$7:$E$16,MATCH(LARGE(CadCat!$E$7:$E$16,Res!A19),CadCat!$E$7:$E$16,0),1),"")</f>
        <v/>
      </c>
      <c r="C19" s="108" t="str">
        <f ca="1">IF($B19="","",IFERROR(SUMIFS(tbLancamentos[Tempo indisponível],tbLancamentos[Categoria],$B19,tbLancamentos[Momento da falha],"&gt;="&amp;C$9,tbLancamentos[Momento da falha],"&lt;"&amp;D$9),0))</f>
        <v/>
      </c>
      <c r="D19" s="108" t="str">
        <f ca="1">IF($B19="","",IFERROR(SUMIFS(tbLancamentos[Tempo indisponível],tbLancamentos[Categoria],$B19,tbLancamentos[Momento da falha],"&gt;="&amp;D$9,tbLancamentos[Momento da falha],"&lt;"&amp;E$9),0))</f>
        <v/>
      </c>
      <c r="E19" s="108" t="str">
        <f ca="1">IF($B19="","",IFERROR(SUMIFS(tbLancamentos[Tempo indisponível],tbLancamentos[Categoria],$B19,tbLancamentos[Momento da falha],"&gt;="&amp;E$9,tbLancamentos[Momento da falha],"&lt;"&amp;F$9),0))</f>
        <v/>
      </c>
      <c r="F19" s="108" t="str">
        <f ca="1">IF($B19="","",IFERROR(SUMIFS(tbLancamentos[Tempo indisponível],tbLancamentos[Categoria],$B19,tbLancamentos[Momento da falha],"&gt;="&amp;F$9,tbLancamentos[Momento da falha],"&lt;"&amp;G$9),0))</f>
        <v/>
      </c>
      <c r="G19" s="108" t="str">
        <f ca="1">IF($B19="","",IFERROR(SUMIFS(tbLancamentos[Tempo indisponível],tbLancamentos[Categoria],$B19,tbLancamentos[Momento da falha],"&gt;="&amp;G$9,tbLancamentos[Momento da falha],"&lt;"&amp;H$9),0))</f>
        <v/>
      </c>
      <c r="H19" s="108" t="str">
        <f ca="1">IF($B19="","",IFERROR(SUMIFS(tbLancamentos[Tempo indisponível],tbLancamentos[Categoria],$B19,tbLancamentos[Momento da falha],"&gt;="&amp;H$9,tbLancamentos[Momento da falha],"&lt;"&amp;I$9),0))</f>
        <v/>
      </c>
      <c r="I19" s="108" t="str">
        <f ca="1">IF($B19="","",IFERROR(SUMIFS(tbLancamentos[Tempo indisponível],tbLancamentos[Categoria],$B19,tbLancamentos[Momento da falha],"&gt;="&amp;I$9,tbLancamentos[Momento da falha],"&lt;"&amp;J$9),0))</f>
        <v/>
      </c>
      <c r="J19" s="108" t="str">
        <f ca="1">IF($B19="","",IFERROR(SUMIFS(tbLancamentos[Tempo indisponível],tbLancamentos[Categoria],$B19,tbLancamentos[Momento da falha],"&gt;="&amp;J$9,tbLancamentos[Momento da falha],"&lt;"&amp;K$9),0))</f>
        <v/>
      </c>
      <c r="K19" s="108" t="str">
        <f ca="1">IF($B19="","",IFERROR(SUMIFS(tbLancamentos[Tempo indisponível],tbLancamentos[Categoria],$B19,tbLancamentos[Momento da falha],"&gt;="&amp;K$9,tbLancamentos[Momento da falha],"&lt;"&amp;L$9),0))</f>
        <v/>
      </c>
      <c r="L19" s="108" t="str">
        <f ca="1">IF($B19="","",IFERROR(SUMIFS(tbLancamentos[Tempo indisponível],tbLancamentos[Categoria],$B19,tbLancamentos[Momento da falha],"&gt;="&amp;L$9,tbLancamentos[Momento da falha],"&lt;"&amp;M$9),0))</f>
        <v/>
      </c>
      <c r="M19" s="108" t="str">
        <f ca="1">IF($B19="","",IFERROR(SUMIFS(tbLancamentos[Tempo indisponível],tbLancamentos[Categoria],$B19,tbLancamentos[Momento da falha],"&gt;="&amp;M$9,tbLancamentos[Momento da falha],"&lt;"&amp;N$9),0))</f>
        <v/>
      </c>
      <c r="N19" s="108" t="str">
        <f ca="1">IF($B19="","",IFERROR(SUMIFS(tbLancamentos[Tempo indisponível],tbLancamentos[Categoria],$B19,tbLancamentos[Momento da falha],"&gt;="&amp;N$9,tbLancamentos[Momento da falha],"&lt;"&amp;O$9),0))</f>
        <v/>
      </c>
      <c r="O19" s="109" t="str">
        <f t="shared" ca="1" si="0"/>
        <v/>
      </c>
    </row>
    <row r="20" spans="1:15" ht="20.100000000000001" customHeight="1" x14ac:dyDescent="0.25">
      <c r="A20" s="10">
        <v>10</v>
      </c>
      <c r="B20" s="107" t="str">
        <f ca="1">IFERROR(INDEX(CadCat!$C$7:$E$16,MATCH(LARGE(CadCat!$E$7:$E$16,Res!A20),CadCat!$E$7:$E$16,0),1),"")</f>
        <v/>
      </c>
      <c r="C20" s="108" t="str">
        <f ca="1">IF($B20="","",IFERROR(SUMIFS(tbLancamentos[Tempo indisponível],tbLancamentos[Categoria],$B20,tbLancamentos[Momento da falha],"&gt;="&amp;C$9,tbLancamentos[Momento da falha],"&lt;"&amp;D$9),0))</f>
        <v/>
      </c>
      <c r="D20" s="108" t="str">
        <f ca="1">IF($B20="","",IFERROR(SUMIFS(tbLancamentos[Tempo indisponível],tbLancamentos[Categoria],$B20,tbLancamentos[Momento da falha],"&gt;="&amp;D$9,tbLancamentos[Momento da falha],"&lt;"&amp;E$9),0))</f>
        <v/>
      </c>
      <c r="E20" s="108" t="str">
        <f ca="1">IF($B20="","",IFERROR(SUMIFS(tbLancamentos[Tempo indisponível],tbLancamentos[Categoria],$B20,tbLancamentos[Momento da falha],"&gt;="&amp;E$9,tbLancamentos[Momento da falha],"&lt;"&amp;F$9),0))</f>
        <v/>
      </c>
      <c r="F20" s="108" t="str">
        <f ca="1">IF($B20="","",IFERROR(SUMIFS(tbLancamentos[Tempo indisponível],tbLancamentos[Categoria],$B20,tbLancamentos[Momento da falha],"&gt;="&amp;F$9,tbLancamentos[Momento da falha],"&lt;"&amp;G$9),0))</f>
        <v/>
      </c>
      <c r="G20" s="108" t="str">
        <f ca="1">IF($B20="","",IFERROR(SUMIFS(tbLancamentos[Tempo indisponível],tbLancamentos[Categoria],$B20,tbLancamentos[Momento da falha],"&gt;="&amp;G$9,tbLancamentos[Momento da falha],"&lt;"&amp;H$9),0))</f>
        <v/>
      </c>
      <c r="H20" s="108" t="str">
        <f ca="1">IF($B20="","",IFERROR(SUMIFS(tbLancamentos[Tempo indisponível],tbLancamentos[Categoria],$B20,tbLancamentos[Momento da falha],"&gt;="&amp;H$9,tbLancamentos[Momento da falha],"&lt;"&amp;I$9),0))</f>
        <v/>
      </c>
      <c r="I20" s="108" t="str">
        <f ca="1">IF($B20="","",IFERROR(SUMIFS(tbLancamentos[Tempo indisponível],tbLancamentos[Categoria],$B20,tbLancamentos[Momento da falha],"&gt;="&amp;I$9,tbLancamentos[Momento da falha],"&lt;"&amp;J$9),0))</f>
        <v/>
      </c>
      <c r="J20" s="108" t="str">
        <f ca="1">IF($B20="","",IFERROR(SUMIFS(tbLancamentos[Tempo indisponível],tbLancamentos[Categoria],$B20,tbLancamentos[Momento da falha],"&gt;="&amp;J$9,tbLancamentos[Momento da falha],"&lt;"&amp;K$9),0))</f>
        <v/>
      </c>
      <c r="K20" s="108" t="str">
        <f ca="1">IF($B20="","",IFERROR(SUMIFS(tbLancamentos[Tempo indisponível],tbLancamentos[Categoria],$B20,tbLancamentos[Momento da falha],"&gt;="&amp;K$9,tbLancamentos[Momento da falha],"&lt;"&amp;L$9),0))</f>
        <v/>
      </c>
      <c r="L20" s="108" t="str">
        <f ca="1">IF($B20="","",IFERROR(SUMIFS(tbLancamentos[Tempo indisponível],tbLancamentos[Categoria],$B20,tbLancamentos[Momento da falha],"&gt;="&amp;L$9,tbLancamentos[Momento da falha],"&lt;"&amp;M$9),0))</f>
        <v/>
      </c>
      <c r="M20" s="108" t="str">
        <f ca="1">IF($B20="","",IFERROR(SUMIFS(tbLancamentos[Tempo indisponível],tbLancamentos[Categoria],$B20,tbLancamentos[Momento da falha],"&gt;="&amp;M$9,tbLancamentos[Momento da falha],"&lt;"&amp;N$9),0))</f>
        <v/>
      </c>
      <c r="N20" s="108" t="str">
        <f ca="1">IF($B20="","",IFERROR(SUMIFS(tbLancamentos[Tempo indisponível],tbLancamentos[Categoria],$B20,tbLancamentos[Momento da falha],"&gt;="&amp;N$9,tbLancamentos[Momento da falha],"&lt;"&amp;O$9),0))</f>
        <v/>
      </c>
      <c r="O20" s="109" t="str">
        <f t="shared" ca="1" si="0"/>
        <v/>
      </c>
    </row>
    <row r="21" spans="1:15" ht="20.100000000000001" customHeight="1" x14ac:dyDescent="0.25">
      <c r="B21" s="110" t="s">
        <v>51</v>
      </c>
      <c r="C21" s="109">
        <f ca="1">SUM(C11:C20)</f>
        <v>0.26380345476354705</v>
      </c>
      <c r="D21" s="109">
        <f t="shared" ref="D21:N21" ca="1" si="1">SUM(D11:D20)</f>
        <v>0</v>
      </c>
      <c r="E21" s="109">
        <f t="shared" ca="1" si="1"/>
        <v>0</v>
      </c>
      <c r="F21" s="109">
        <f t="shared" ca="1" si="1"/>
        <v>0</v>
      </c>
      <c r="G21" s="109">
        <f t="shared" ca="1" si="1"/>
        <v>0</v>
      </c>
      <c r="H21" s="109">
        <f t="shared" ca="1" si="1"/>
        <v>0</v>
      </c>
      <c r="I21" s="109">
        <f t="shared" ca="1" si="1"/>
        <v>0</v>
      </c>
      <c r="J21" s="109">
        <f t="shared" ca="1" si="1"/>
        <v>0</v>
      </c>
      <c r="K21" s="109">
        <f t="shared" ca="1" si="1"/>
        <v>0</v>
      </c>
      <c r="L21" s="109">
        <f t="shared" ca="1" si="1"/>
        <v>0</v>
      </c>
      <c r="M21" s="109">
        <f t="shared" ca="1" si="1"/>
        <v>0</v>
      </c>
      <c r="N21" s="109">
        <f t="shared" ca="1" si="1"/>
        <v>0</v>
      </c>
      <c r="O21" s="111"/>
    </row>
    <row r="23" spans="1:15" ht="20.100000000000001" customHeight="1" x14ac:dyDescent="0.3">
      <c r="B23" s="103" t="s">
        <v>57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ht="20.100000000000001" customHeight="1" x14ac:dyDescent="0.25">
      <c r="B24" s="69" t="s">
        <v>56</v>
      </c>
      <c r="C24" s="106" t="s">
        <v>39</v>
      </c>
      <c r="D24" s="106" t="s">
        <v>40</v>
      </c>
      <c r="E24" s="106" t="s">
        <v>41</v>
      </c>
      <c r="F24" s="106" t="s">
        <v>42</v>
      </c>
      <c r="G24" s="106" t="s">
        <v>43</v>
      </c>
      <c r="H24" s="106" t="s">
        <v>44</v>
      </c>
      <c r="I24" s="106" t="s">
        <v>45</v>
      </c>
      <c r="J24" s="106" t="s">
        <v>46</v>
      </c>
      <c r="K24" s="106" t="s">
        <v>47</v>
      </c>
      <c r="L24" s="106" t="s">
        <v>48</v>
      </c>
      <c r="M24" s="106" t="s">
        <v>49</v>
      </c>
      <c r="N24" s="106" t="s">
        <v>50</v>
      </c>
      <c r="O24" s="106" t="s">
        <v>51</v>
      </c>
    </row>
    <row r="25" spans="1:15" ht="20.100000000000001" customHeight="1" x14ac:dyDescent="0.25">
      <c r="A25" s="10">
        <v>1</v>
      </c>
      <c r="B25" s="107" t="str">
        <f ca="1">IFERROR(INDEX(CadFal!$C$7:$E$26,MATCH(LARGE(CadFal!$D$7:$D$26,Res!A25),CadFal!$D$7:$D$26,0),1),"")</f>
        <v>Câmera offline</v>
      </c>
      <c r="C25" s="112">
        <f ca="1">IF($B25="","",IFERROR(COUNTIFS(tbLancamentos[Falha],$B25,tbLancamentos[Momento da falha],"&gt;="&amp;C$9,tbLancamentos[Momento da falha],"&lt;"&amp;D$9),0))</f>
        <v>1</v>
      </c>
      <c r="D25" s="112">
        <f ca="1">IF($B25="","",IFERROR(COUNTIFS(tbLancamentos[Falha],$B25,tbLancamentos[Momento da falha],"&gt;="&amp;D$9,tbLancamentos[Momento da falha],"&lt;"&amp;E$9),0))</f>
        <v>0</v>
      </c>
      <c r="E25" s="112">
        <f ca="1">IF($B25="","",IFERROR(COUNTIFS(tbLancamentos[Falha],$B25,tbLancamentos[Momento da falha],"&gt;="&amp;E$9,tbLancamentos[Momento da falha],"&lt;"&amp;F$9),0))</f>
        <v>0</v>
      </c>
      <c r="F25" s="112">
        <f ca="1">IF($B25="","",IFERROR(COUNTIFS(tbLancamentos[Falha],$B25,tbLancamentos[Momento da falha],"&gt;="&amp;F$9,tbLancamentos[Momento da falha],"&lt;"&amp;G$9),0))</f>
        <v>0</v>
      </c>
      <c r="G25" s="112">
        <f ca="1">IF($B25="","",IFERROR(COUNTIFS(tbLancamentos[Falha],$B25,tbLancamentos[Momento da falha],"&gt;="&amp;G$9,tbLancamentos[Momento da falha],"&lt;"&amp;H$9),0))</f>
        <v>0</v>
      </c>
      <c r="H25" s="112">
        <f ca="1">IF($B25="","",IFERROR(COUNTIFS(tbLancamentos[Falha],$B25,tbLancamentos[Momento da falha],"&gt;="&amp;H$9,tbLancamentos[Momento da falha],"&lt;"&amp;I$9),0))</f>
        <v>0</v>
      </c>
      <c r="I25" s="112">
        <f ca="1">IF($B25="","",IFERROR(COUNTIFS(tbLancamentos[Falha],$B25,tbLancamentos[Momento da falha],"&gt;="&amp;I$9,tbLancamentos[Momento da falha],"&lt;"&amp;J$9),0))</f>
        <v>0</v>
      </c>
      <c r="J25" s="112">
        <f ca="1">IF($B25="","",IFERROR(COUNTIFS(tbLancamentos[Falha],$B25,tbLancamentos[Momento da falha],"&gt;="&amp;J$9,tbLancamentos[Momento da falha],"&lt;"&amp;K$9),0))</f>
        <v>0</v>
      </c>
      <c r="K25" s="112">
        <f ca="1">IF($B25="","",IFERROR(COUNTIFS(tbLancamentos[Falha],$B25,tbLancamentos[Momento da falha],"&gt;="&amp;K$9,tbLancamentos[Momento da falha],"&lt;"&amp;L$9),0))</f>
        <v>0</v>
      </c>
      <c r="L25" s="112">
        <f ca="1">IF($B25="","",IFERROR(COUNTIFS(tbLancamentos[Falha],$B25,tbLancamentos[Momento da falha],"&gt;="&amp;L$9,tbLancamentos[Momento da falha],"&lt;"&amp;M$9),0))</f>
        <v>0</v>
      </c>
      <c r="M25" s="112">
        <f ca="1">IF($B25="","",IFERROR(COUNTIFS(tbLancamentos[Falha],$B25,tbLancamentos[Momento da falha],"&gt;="&amp;M$9,tbLancamentos[Momento da falha],"&lt;"&amp;N$9),0))</f>
        <v>0</v>
      </c>
      <c r="N25" s="112">
        <f ca="1">IF($B25="","",IFERROR(COUNTIFS(tbLancamentos[Falha],$B25,tbLancamentos[Momento da falha],"&gt;="&amp;N$9,tbLancamentos[Momento da falha],"&lt;"&amp;O$9),0))</f>
        <v>0</v>
      </c>
      <c r="O25" s="113">
        <f ca="1">IF(B25="","",SUM(C25:N25))</f>
        <v>1</v>
      </c>
    </row>
    <row r="26" spans="1:15" ht="20.100000000000001" customHeight="1" x14ac:dyDescent="0.25">
      <c r="A26" s="10">
        <v>2</v>
      </c>
      <c r="B26" s="107" t="str">
        <f ca="1">IFERROR(INDEX(CadFal!$C$7:$E$26,MATCH(LARGE(CadFal!$D$7:$D$26,Res!A26),CadFal!$D$7:$D$26,0),1),"")</f>
        <v>Alarme offline</v>
      </c>
      <c r="C26" s="112">
        <f ca="1">IF($B26="","",IFERROR(COUNTIFS(tbLancamentos[Falha],$B26,tbLancamentos[Momento da falha],"&gt;="&amp;C$9,tbLancamentos[Momento da falha],"&lt;"&amp;D$9),0))</f>
        <v>0</v>
      </c>
      <c r="D26" s="112">
        <f ca="1">IF($B26="","",IFERROR(COUNTIFS(tbLancamentos[Falha],$B26,tbLancamentos[Momento da falha],"&gt;="&amp;D$9,tbLancamentos[Momento da falha],"&lt;"&amp;E$9),0))</f>
        <v>0</v>
      </c>
      <c r="E26" s="112">
        <f ca="1">IF($B26="","",IFERROR(COUNTIFS(tbLancamentos[Falha],$B26,tbLancamentos[Momento da falha],"&gt;="&amp;E$9,tbLancamentos[Momento da falha],"&lt;"&amp;F$9),0))</f>
        <v>0</v>
      </c>
      <c r="F26" s="112">
        <f ca="1">IF($B26="","",IFERROR(COUNTIFS(tbLancamentos[Falha],$B26,tbLancamentos[Momento da falha],"&gt;="&amp;F$9,tbLancamentos[Momento da falha],"&lt;"&amp;G$9),0))</f>
        <v>0</v>
      </c>
      <c r="G26" s="112">
        <f ca="1">IF($B26="","",IFERROR(COUNTIFS(tbLancamentos[Falha],$B26,tbLancamentos[Momento da falha],"&gt;="&amp;G$9,tbLancamentos[Momento da falha],"&lt;"&amp;H$9),0))</f>
        <v>0</v>
      </c>
      <c r="H26" s="112">
        <f ca="1">IF($B26="","",IFERROR(COUNTIFS(tbLancamentos[Falha],$B26,tbLancamentos[Momento da falha],"&gt;="&amp;H$9,tbLancamentos[Momento da falha],"&lt;"&amp;I$9),0))</f>
        <v>0</v>
      </c>
      <c r="I26" s="112">
        <f ca="1">IF($B26="","",IFERROR(COUNTIFS(tbLancamentos[Falha],$B26,tbLancamentos[Momento da falha],"&gt;="&amp;I$9,tbLancamentos[Momento da falha],"&lt;"&amp;J$9),0))</f>
        <v>0</v>
      </c>
      <c r="J26" s="112">
        <f ca="1">IF($B26="","",IFERROR(COUNTIFS(tbLancamentos[Falha],$B26,tbLancamentos[Momento da falha],"&gt;="&amp;J$9,tbLancamentos[Momento da falha],"&lt;"&amp;K$9),0))</f>
        <v>0</v>
      </c>
      <c r="K26" s="112">
        <f ca="1">IF($B26="","",IFERROR(COUNTIFS(tbLancamentos[Falha],$B26,tbLancamentos[Momento da falha],"&gt;="&amp;K$9,tbLancamentos[Momento da falha],"&lt;"&amp;L$9),0))</f>
        <v>0</v>
      </c>
      <c r="L26" s="112">
        <f ca="1">IF($B26="","",IFERROR(COUNTIFS(tbLancamentos[Falha],$B26,tbLancamentos[Momento da falha],"&gt;="&amp;L$9,tbLancamentos[Momento da falha],"&lt;"&amp;M$9),0))</f>
        <v>0</v>
      </c>
      <c r="M26" s="112">
        <f ca="1">IF($B26="","",IFERROR(COUNTIFS(tbLancamentos[Falha],$B26,tbLancamentos[Momento da falha],"&gt;="&amp;M$9,tbLancamentos[Momento da falha],"&lt;"&amp;N$9),0))</f>
        <v>0</v>
      </c>
      <c r="N26" s="112">
        <f ca="1">IF($B26="","",IFERROR(COUNTIFS(tbLancamentos[Falha],$B26,tbLancamentos[Momento da falha],"&gt;="&amp;N$9,tbLancamentos[Momento da falha],"&lt;"&amp;O$9),0))</f>
        <v>0</v>
      </c>
      <c r="O26" s="113">
        <f t="shared" ref="O26:O34" ca="1" si="2">IF(B26="","",SUM(C26:N26))</f>
        <v>0</v>
      </c>
    </row>
    <row r="27" spans="1:15" ht="20.100000000000001" customHeight="1" x14ac:dyDescent="0.25">
      <c r="A27" s="10">
        <v>3</v>
      </c>
      <c r="B27" s="107" t="str">
        <f ca="1">IFERROR(INDEX(CadFal!$C$7:$E$26,MATCH(LARGE(CadFal!$D$7:$D$26,Res!A27),CadFal!$D$7:$D$26,0),1),"")</f>
        <v>Central de alarme inoperante</v>
      </c>
      <c r="C27" s="112">
        <f ca="1">IF($B27="","",IFERROR(COUNTIFS(tbLancamentos[Falha],$B27,tbLancamentos[Momento da falha],"&gt;="&amp;C$9,tbLancamentos[Momento da falha],"&lt;"&amp;D$9),0))</f>
        <v>0</v>
      </c>
      <c r="D27" s="112">
        <f ca="1">IF($B27="","",IFERROR(COUNTIFS(tbLancamentos[Falha],$B27,tbLancamentos[Momento da falha],"&gt;="&amp;D$9,tbLancamentos[Momento da falha],"&lt;"&amp;E$9),0))</f>
        <v>0</v>
      </c>
      <c r="E27" s="112">
        <f ca="1">IF($B27="","",IFERROR(COUNTIFS(tbLancamentos[Falha],$B27,tbLancamentos[Momento da falha],"&gt;="&amp;E$9,tbLancamentos[Momento da falha],"&lt;"&amp;F$9),0))</f>
        <v>0</v>
      </c>
      <c r="F27" s="112">
        <f ca="1">IF($B27="","",IFERROR(COUNTIFS(tbLancamentos[Falha],$B27,tbLancamentos[Momento da falha],"&gt;="&amp;F$9,tbLancamentos[Momento da falha],"&lt;"&amp;G$9),0))</f>
        <v>0</v>
      </c>
      <c r="G27" s="112">
        <f ca="1">IF($B27="","",IFERROR(COUNTIFS(tbLancamentos[Falha],$B27,tbLancamentos[Momento da falha],"&gt;="&amp;G$9,tbLancamentos[Momento da falha],"&lt;"&amp;H$9),0))</f>
        <v>0</v>
      </c>
      <c r="H27" s="112">
        <f ca="1">IF($B27="","",IFERROR(COUNTIFS(tbLancamentos[Falha],$B27,tbLancamentos[Momento da falha],"&gt;="&amp;H$9,tbLancamentos[Momento da falha],"&lt;"&amp;I$9),0))</f>
        <v>0</v>
      </c>
      <c r="I27" s="112">
        <f ca="1">IF($B27="","",IFERROR(COUNTIFS(tbLancamentos[Falha],$B27,tbLancamentos[Momento da falha],"&gt;="&amp;I$9,tbLancamentos[Momento da falha],"&lt;"&amp;J$9),0))</f>
        <v>0</v>
      </c>
      <c r="J27" s="112">
        <f ca="1">IF($B27="","",IFERROR(COUNTIFS(tbLancamentos[Falha],$B27,tbLancamentos[Momento da falha],"&gt;="&amp;J$9,tbLancamentos[Momento da falha],"&lt;"&amp;K$9),0))</f>
        <v>0</v>
      </c>
      <c r="K27" s="112">
        <f ca="1">IF($B27="","",IFERROR(COUNTIFS(tbLancamentos[Falha],$B27,tbLancamentos[Momento da falha],"&gt;="&amp;K$9,tbLancamentos[Momento da falha],"&lt;"&amp;L$9),0))</f>
        <v>0</v>
      </c>
      <c r="L27" s="112">
        <f ca="1">IF($B27="","",IFERROR(COUNTIFS(tbLancamentos[Falha],$B27,tbLancamentos[Momento da falha],"&gt;="&amp;L$9,tbLancamentos[Momento da falha],"&lt;"&amp;M$9),0))</f>
        <v>0</v>
      </c>
      <c r="M27" s="112">
        <f ca="1">IF($B27="","",IFERROR(COUNTIFS(tbLancamentos[Falha],$B27,tbLancamentos[Momento da falha],"&gt;="&amp;M$9,tbLancamentos[Momento da falha],"&lt;"&amp;N$9),0))</f>
        <v>0</v>
      </c>
      <c r="N27" s="112">
        <f ca="1">IF($B27="","",IFERROR(COUNTIFS(tbLancamentos[Falha],$B27,tbLancamentos[Momento da falha],"&gt;="&amp;N$9,tbLancamentos[Momento da falha],"&lt;"&amp;O$9),0))</f>
        <v>0</v>
      </c>
      <c r="O27" s="113">
        <f t="shared" ca="1" si="2"/>
        <v>0</v>
      </c>
    </row>
    <row r="28" spans="1:15" ht="20.100000000000001" customHeight="1" x14ac:dyDescent="0.25">
      <c r="A28" s="10">
        <v>4</v>
      </c>
      <c r="B28" s="107" t="str">
        <f ca="1">IFERROR(INDEX(CadFal!$C$7:$E$26,MATCH(LARGE(CadFal!$D$7:$D$26,Res!A28),CadFal!$D$7:$D$26,0),1),"")</f>
        <v>DVR offline</v>
      </c>
      <c r="C28" s="112">
        <f ca="1">IF($B28="","",IFERROR(COUNTIFS(tbLancamentos[Falha],$B28,tbLancamentos[Momento da falha],"&gt;="&amp;C$9,tbLancamentos[Momento da falha],"&lt;"&amp;D$9),0))</f>
        <v>0</v>
      </c>
      <c r="D28" s="112">
        <f ca="1">IF($B28="","",IFERROR(COUNTIFS(tbLancamentos[Falha],$B28,tbLancamentos[Momento da falha],"&gt;="&amp;D$9,tbLancamentos[Momento da falha],"&lt;"&amp;E$9),0))</f>
        <v>0</v>
      </c>
      <c r="E28" s="112">
        <f ca="1">IF($B28="","",IFERROR(COUNTIFS(tbLancamentos[Falha],$B28,tbLancamentos[Momento da falha],"&gt;="&amp;E$9,tbLancamentos[Momento da falha],"&lt;"&amp;F$9),0))</f>
        <v>0</v>
      </c>
      <c r="F28" s="112">
        <f ca="1">IF($B28="","",IFERROR(COUNTIFS(tbLancamentos[Falha],$B28,tbLancamentos[Momento da falha],"&gt;="&amp;F$9,tbLancamentos[Momento da falha],"&lt;"&amp;G$9),0))</f>
        <v>0</v>
      </c>
      <c r="G28" s="112">
        <f ca="1">IF($B28="","",IFERROR(COUNTIFS(tbLancamentos[Falha],$B28,tbLancamentos[Momento da falha],"&gt;="&amp;G$9,tbLancamentos[Momento da falha],"&lt;"&amp;H$9),0))</f>
        <v>0</v>
      </c>
      <c r="H28" s="112">
        <f ca="1">IF($B28="","",IFERROR(COUNTIFS(tbLancamentos[Falha],$B28,tbLancamentos[Momento da falha],"&gt;="&amp;H$9,tbLancamentos[Momento da falha],"&lt;"&amp;I$9),0))</f>
        <v>0</v>
      </c>
      <c r="I28" s="112">
        <f ca="1">IF($B28="","",IFERROR(COUNTIFS(tbLancamentos[Falha],$B28,tbLancamentos[Momento da falha],"&gt;="&amp;I$9,tbLancamentos[Momento da falha],"&lt;"&amp;J$9),0))</f>
        <v>0</v>
      </c>
      <c r="J28" s="112">
        <f ca="1">IF($B28="","",IFERROR(COUNTIFS(tbLancamentos[Falha],$B28,tbLancamentos[Momento da falha],"&gt;="&amp;J$9,tbLancamentos[Momento da falha],"&lt;"&amp;K$9),0))</f>
        <v>0</v>
      </c>
      <c r="K28" s="112">
        <f ca="1">IF($B28="","",IFERROR(COUNTIFS(tbLancamentos[Falha],$B28,tbLancamentos[Momento da falha],"&gt;="&amp;K$9,tbLancamentos[Momento da falha],"&lt;"&amp;L$9),0))</f>
        <v>0</v>
      </c>
      <c r="L28" s="112">
        <f ca="1">IF($B28="","",IFERROR(COUNTIFS(tbLancamentos[Falha],$B28,tbLancamentos[Momento da falha],"&gt;="&amp;L$9,tbLancamentos[Momento da falha],"&lt;"&amp;M$9),0))</f>
        <v>0</v>
      </c>
      <c r="M28" s="112">
        <f ca="1">IF($B28="","",IFERROR(COUNTIFS(tbLancamentos[Falha],$B28,tbLancamentos[Momento da falha],"&gt;="&amp;M$9,tbLancamentos[Momento da falha],"&lt;"&amp;N$9),0))</f>
        <v>0</v>
      </c>
      <c r="N28" s="112">
        <f ca="1">IF($B28="","",IFERROR(COUNTIFS(tbLancamentos[Falha],$B28,tbLancamentos[Momento da falha],"&gt;="&amp;N$9,tbLancamentos[Momento da falha],"&lt;"&amp;O$9),0))</f>
        <v>0</v>
      </c>
      <c r="O28" s="113">
        <f t="shared" ca="1" si="2"/>
        <v>0</v>
      </c>
    </row>
    <row r="29" spans="1:15" ht="20.100000000000001" customHeight="1" x14ac:dyDescent="0.25">
      <c r="A29" s="10">
        <v>5</v>
      </c>
      <c r="B29" s="107" t="str">
        <f ca="1">IFERROR(INDEX(CadFal!$C$7:$E$26,MATCH(LARGE(CadFal!$D$7:$D$26,Res!A29),CadFal!$D$7:$D$26,0),1),"")</f>
        <v>Sensores Inoperantes</v>
      </c>
      <c r="C29" s="112">
        <f ca="1">IF($B29="","",IFERROR(COUNTIFS(tbLancamentos[Falha],$B29,tbLancamentos[Momento da falha],"&gt;="&amp;C$9,tbLancamentos[Momento da falha],"&lt;"&amp;D$9),0))</f>
        <v>0</v>
      </c>
      <c r="D29" s="112">
        <f ca="1">IF($B29="","",IFERROR(COUNTIFS(tbLancamentos[Falha],$B29,tbLancamentos[Momento da falha],"&gt;="&amp;D$9,tbLancamentos[Momento da falha],"&lt;"&amp;E$9),0))</f>
        <v>0</v>
      </c>
      <c r="E29" s="112">
        <f ca="1">IF($B29="","",IFERROR(COUNTIFS(tbLancamentos[Falha],$B29,tbLancamentos[Momento da falha],"&gt;="&amp;E$9,tbLancamentos[Momento da falha],"&lt;"&amp;F$9),0))</f>
        <v>0</v>
      </c>
      <c r="F29" s="112">
        <f ca="1">IF($B29="","",IFERROR(COUNTIFS(tbLancamentos[Falha],$B29,tbLancamentos[Momento da falha],"&gt;="&amp;F$9,tbLancamentos[Momento da falha],"&lt;"&amp;G$9),0))</f>
        <v>0</v>
      </c>
      <c r="G29" s="112">
        <f ca="1">IF($B29="","",IFERROR(COUNTIFS(tbLancamentos[Falha],$B29,tbLancamentos[Momento da falha],"&gt;="&amp;G$9,tbLancamentos[Momento da falha],"&lt;"&amp;H$9),0))</f>
        <v>0</v>
      </c>
      <c r="H29" s="112">
        <f ca="1">IF($B29="","",IFERROR(COUNTIFS(tbLancamentos[Falha],$B29,tbLancamentos[Momento da falha],"&gt;="&amp;H$9,tbLancamentos[Momento da falha],"&lt;"&amp;I$9),0))</f>
        <v>0</v>
      </c>
      <c r="I29" s="112">
        <f ca="1">IF($B29="","",IFERROR(COUNTIFS(tbLancamentos[Falha],$B29,tbLancamentos[Momento da falha],"&gt;="&amp;I$9,tbLancamentos[Momento da falha],"&lt;"&amp;J$9),0))</f>
        <v>0</v>
      </c>
      <c r="J29" s="112">
        <f ca="1">IF($B29="","",IFERROR(COUNTIFS(tbLancamentos[Falha],$B29,tbLancamentos[Momento da falha],"&gt;="&amp;J$9,tbLancamentos[Momento da falha],"&lt;"&amp;K$9),0))</f>
        <v>0</v>
      </c>
      <c r="K29" s="112">
        <f ca="1">IF($B29="","",IFERROR(COUNTIFS(tbLancamentos[Falha],$B29,tbLancamentos[Momento da falha],"&gt;="&amp;K$9,tbLancamentos[Momento da falha],"&lt;"&amp;L$9),0))</f>
        <v>0</v>
      </c>
      <c r="L29" s="112">
        <f ca="1">IF($B29="","",IFERROR(COUNTIFS(tbLancamentos[Falha],$B29,tbLancamentos[Momento da falha],"&gt;="&amp;L$9,tbLancamentos[Momento da falha],"&lt;"&amp;M$9),0))</f>
        <v>0</v>
      </c>
      <c r="M29" s="112">
        <f ca="1">IF($B29="","",IFERROR(COUNTIFS(tbLancamentos[Falha],$B29,tbLancamentos[Momento da falha],"&gt;="&amp;M$9,tbLancamentos[Momento da falha],"&lt;"&amp;N$9),0))</f>
        <v>0</v>
      </c>
      <c r="N29" s="112">
        <f ca="1">IF($B29="","",IFERROR(COUNTIFS(tbLancamentos[Falha],$B29,tbLancamentos[Momento da falha],"&gt;="&amp;N$9,tbLancamentos[Momento da falha],"&lt;"&amp;O$9),0))</f>
        <v>0</v>
      </c>
      <c r="O29" s="113">
        <f t="shared" ca="1" si="2"/>
        <v>0</v>
      </c>
    </row>
    <row r="30" spans="1:15" ht="20.100000000000001" customHeight="1" x14ac:dyDescent="0.25">
      <c r="A30" s="10">
        <v>6</v>
      </c>
      <c r="B30" s="107" t="str">
        <f ca="1">IFERROR(INDEX(CadFal!$C$7:$E$26,MATCH(LARGE(CadFal!$D$7:$D$26,Res!A30),CadFal!$D$7:$D$26,0),1),"")</f>
        <v>Servidor offline</v>
      </c>
      <c r="C30" s="112">
        <f ca="1">IF($B30="","",IFERROR(COUNTIFS(tbLancamentos[Falha],$B30,tbLancamentos[Momento da falha],"&gt;="&amp;C$9,tbLancamentos[Momento da falha],"&lt;"&amp;D$9),0))</f>
        <v>0</v>
      </c>
      <c r="D30" s="112">
        <f ca="1">IF($B30="","",IFERROR(COUNTIFS(tbLancamentos[Falha],$B30,tbLancamentos[Momento da falha],"&gt;="&amp;D$9,tbLancamentos[Momento da falha],"&lt;"&amp;E$9),0))</f>
        <v>0</v>
      </c>
      <c r="E30" s="112">
        <f ca="1">IF($B30="","",IFERROR(COUNTIFS(tbLancamentos[Falha],$B30,tbLancamentos[Momento da falha],"&gt;="&amp;E$9,tbLancamentos[Momento da falha],"&lt;"&amp;F$9),0))</f>
        <v>0</v>
      </c>
      <c r="F30" s="112">
        <f ca="1">IF($B30="","",IFERROR(COUNTIFS(tbLancamentos[Falha],$B30,tbLancamentos[Momento da falha],"&gt;="&amp;F$9,tbLancamentos[Momento da falha],"&lt;"&amp;G$9),0))</f>
        <v>0</v>
      </c>
      <c r="G30" s="112">
        <f ca="1">IF($B30="","",IFERROR(COUNTIFS(tbLancamentos[Falha],$B30,tbLancamentos[Momento da falha],"&gt;="&amp;G$9,tbLancamentos[Momento da falha],"&lt;"&amp;H$9),0))</f>
        <v>0</v>
      </c>
      <c r="H30" s="112">
        <f ca="1">IF($B30="","",IFERROR(COUNTIFS(tbLancamentos[Falha],$B30,tbLancamentos[Momento da falha],"&gt;="&amp;H$9,tbLancamentos[Momento da falha],"&lt;"&amp;I$9),0))</f>
        <v>0</v>
      </c>
      <c r="I30" s="112">
        <f ca="1">IF($B30="","",IFERROR(COUNTIFS(tbLancamentos[Falha],$B30,tbLancamentos[Momento da falha],"&gt;="&amp;I$9,tbLancamentos[Momento da falha],"&lt;"&amp;J$9),0))</f>
        <v>0</v>
      </c>
      <c r="J30" s="112">
        <f ca="1">IF($B30="","",IFERROR(COUNTIFS(tbLancamentos[Falha],$B30,tbLancamentos[Momento da falha],"&gt;="&amp;J$9,tbLancamentos[Momento da falha],"&lt;"&amp;K$9),0))</f>
        <v>0</v>
      </c>
      <c r="K30" s="112">
        <f ca="1">IF($B30="","",IFERROR(COUNTIFS(tbLancamentos[Falha],$B30,tbLancamentos[Momento da falha],"&gt;="&amp;K$9,tbLancamentos[Momento da falha],"&lt;"&amp;L$9),0))</f>
        <v>0</v>
      </c>
      <c r="L30" s="112">
        <f ca="1">IF($B30="","",IFERROR(COUNTIFS(tbLancamentos[Falha],$B30,tbLancamentos[Momento da falha],"&gt;="&amp;L$9,tbLancamentos[Momento da falha],"&lt;"&amp;M$9),0))</f>
        <v>0</v>
      </c>
      <c r="M30" s="112">
        <f ca="1">IF($B30="","",IFERROR(COUNTIFS(tbLancamentos[Falha],$B30,tbLancamentos[Momento da falha],"&gt;="&amp;M$9,tbLancamentos[Momento da falha],"&lt;"&amp;N$9),0))</f>
        <v>0</v>
      </c>
      <c r="N30" s="112">
        <f ca="1">IF($B30="","",IFERROR(COUNTIFS(tbLancamentos[Falha],$B30,tbLancamentos[Momento da falha],"&gt;="&amp;N$9,tbLancamentos[Momento da falha],"&lt;"&amp;O$9),0))</f>
        <v>0</v>
      </c>
      <c r="O30" s="113">
        <f t="shared" ca="1" si="2"/>
        <v>0</v>
      </c>
    </row>
    <row r="31" spans="1:15" ht="20.100000000000001" customHeight="1" x14ac:dyDescent="0.25">
      <c r="A31" s="10">
        <v>7</v>
      </c>
      <c r="B31" s="107" t="str">
        <f ca="1">IFERROR(INDEX(CadFal!$C$7:$E$26,MATCH(LARGE(CadFal!$D$7:$D$26,Res!A31),CadFal!$D$7:$D$26,0),1),"")</f>
        <v/>
      </c>
      <c r="C31" s="112" t="str">
        <f ca="1">IF($B31="","",IFERROR(COUNTIFS(tbLancamentos[Falha],$B31,tbLancamentos[Momento da falha],"&gt;="&amp;C$9,tbLancamentos[Momento da falha],"&lt;"&amp;D$9),0))</f>
        <v/>
      </c>
      <c r="D31" s="112" t="str">
        <f ca="1">IF($B31="","",IFERROR(COUNTIFS(tbLancamentos[Falha],$B31,tbLancamentos[Momento da falha],"&gt;="&amp;D$9,tbLancamentos[Momento da falha],"&lt;"&amp;E$9),0))</f>
        <v/>
      </c>
      <c r="E31" s="112" t="str">
        <f ca="1">IF($B31="","",IFERROR(COUNTIFS(tbLancamentos[Falha],$B31,tbLancamentos[Momento da falha],"&gt;="&amp;E$9,tbLancamentos[Momento da falha],"&lt;"&amp;F$9),0))</f>
        <v/>
      </c>
      <c r="F31" s="112" t="str">
        <f ca="1">IF($B31="","",IFERROR(COUNTIFS(tbLancamentos[Falha],$B31,tbLancamentos[Momento da falha],"&gt;="&amp;F$9,tbLancamentos[Momento da falha],"&lt;"&amp;G$9),0))</f>
        <v/>
      </c>
      <c r="G31" s="112" t="str">
        <f ca="1">IF($B31="","",IFERROR(COUNTIFS(tbLancamentos[Falha],$B31,tbLancamentos[Momento da falha],"&gt;="&amp;G$9,tbLancamentos[Momento da falha],"&lt;"&amp;H$9),0))</f>
        <v/>
      </c>
      <c r="H31" s="112" t="str">
        <f ca="1">IF($B31="","",IFERROR(COUNTIFS(tbLancamentos[Falha],$B31,tbLancamentos[Momento da falha],"&gt;="&amp;H$9,tbLancamentos[Momento da falha],"&lt;"&amp;I$9),0))</f>
        <v/>
      </c>
      <c r="I31" s="112" t="str">
        <f ca="1">IF($B31="","",IFERROR(COUNTIFS(tbLancamentos[Falha],$B31,tbLancamentos[Momento da falha],"&gt;="&amp;I$9,tbLancamentos[Momento da falha],"&lt;"&amp;J$9),0))</f>
        <v/>
      </c>
      <c r="J31" s="112" t="str">
        <f ca="1">IF($B31="","",IFERROR(COUNTIFS(tbLancamentos[Falha],$B31,tbLancamentos[Momento da falha],"&gt;="&amp;J$9,tbLancamentos[Momento da falha],"&lt;"&amp;K$9),0))</f>
        <v/>
      </c>
      <c r="K31" s="112" t="str">
        <f ca="1">IF($B31="","",IFERROR(COUNTIFS(tbLancamentos[Falha],$B31,tbLancamentos[Momento da falha],"&gt;="&amp;K$9,tbLancamentos[Momento da falha],"&lt;"&amp;L$9),0))</f>
        <v/>
      </c>
      <c r="L31" s="112" t="str">
        <f ca="1">IF($B31="","",IFERROR(COUNTIFS(tbLancamentos[Falha],$B31,tbLancamentos[Momento da falha],"&gt;="&amp;L$9,tbLancamentos[Momento da falha],"&lt;"&amp;M$9),0))</f>
        <v/>
      </c>
      <c r="M31" s="112" t="str">
        <f ca="1">IF($B31="","",IFERROR(COUNTIFS(tbLancamentos[Falha],$B31,tbLancamentos[Momento da falha],"&gt;="&amp;M$9,tbLancamentos[Momento da falha],"&lt;"&amp;N$9),0))</f>
        <v/>
      </c>
      <c r="N31" s="112" t="str">
        <f ca="1">IF($B31="","",IFERROR(COUNTIFS(tbLancamentos[Falha],$B31,tbLancamentos[Momento da falha],"&gt;="&amp;N$9,tbLancamentos[Momento da falha],"&lt;"&amp;O$9),0))</f>
        <v/>
      </c>
      <c r="O31" s="113" t="str">
        <f t="shared" ca="1" si="2"/>
        <v/>
      </c>
    </row>
    <row r="32" spans="1:15" ht="20.100000000000001" customHeight="1" x14ac:dyDescent="0.25">
      <c r="A32" s="10">
        <v>8</v>
      </c>
      <c r="B32" s="107" t="str">
        <f ca="1">IFERROR(INDEX(CadFal!$C$7:$E$26,MATCH(LARGE(CadFal!$D$7:$D$26,Res!A32),CadFal!$D$7:$D$26,0),1),"")</f>
        <v/>
      </c>
      <c r="C32" s="112" t="str">
        <f ca="1">IF($B32="","",IFERROR(COUNTIFS(tbLancamentos[Falha],$B32,tbLancamentos[Momento da falha],"&gt;="&amp;C$9,tbLancamentos[Momento da falha],"&lt;"&amp;D$9),0))</f>
        <v/>
      </c>
      <c r="D32" s="112" t="str">
        <f ca="1">IF($B32="","",IFERROR(COUNTIFS(tbLancamentos[Falha],$B32,tbLancamentos[Momento da falha],"&gt;="&amp;D$9,tbLancamentos[Momento da falha],"&lt;"&amp;E$9),0))</f>
        <v/>
      </c>
      <c r="E32" s="112" t="str">
        <f ca="1">IF($B32="","",IFERROR(COUNTIFS(tbLancamentos[Falha],$B32,tbLancamentos[Momento da falha],"&gt;="&amp;E$9,tbLancamentos[Momento da falha],"&lt;"&amp;F$9),0))</f>
        <v/>
      </c>
      <c r="F32" s="112" t="str">
        <f ca="1">IF($B32="","",IFERROR(COUNTIFS(tbLancamentos[Falha],$B32,tbLancamentos[Momento da falha],"&gt;="&amp;F$9,tbLancamentos[Momento da falha],"&lt;"&amp;G$9),0))</f>
        <v/>
      </c>
      <c r="G32" s="112" t="str">
        <f ca="1">IF($B32="","",IFERROR(COUNTIFS(tbLancamentos[Falha],$B32,tbLancamentos[Momento da falha],"&gt;="&amp;G$9,tbLancamentos[Momento da falha],"&lt;"&amp;H$9),0))</f>
        <v/>
      </c>
      <c r="H32" s="112" t="str">
        <f ca="1">IF($B32="","",IFERROR(COUNTIFS(tbLancamentos[Falha],$B32,tbLancamentos[Momento da falha],"&gt;="&amp;H$9,tbLancamentos[Momento da falha],"&lt;"&amp;I$9),0))</f>
        <v/>
      </c>
      <c r="I32" s="112" t="str">
        <f ca="1">IF($B32="","",IFERROR(COUNTIFS(tbLancamentos[Falha],$B32,tbLancamentos[Momento da falha],"&gt;="&amp;I$9,tbLancamentos[Momento da falha],"&lt;"&amp;J$9),0))</f>
        <v/>
      </c>
      <c r="J32" s="112" t="str">
        <f ca="1">IF($B32="","",IFERROR(COUNTIFS(tbLancamentos[Falha],$B32,tbLancamentos[Momento da falha],"&gt;="&amp;J$9,tbLancamentos[Momento da falha],"&lt;"&amp;K$9),0))</f>
        <v/>
      </c>
      <c r="K32" s="112" t="str">
        <f ca="1">IF($B32="","",IFERROR(COUNTIFS(tbLancamentos[Falha],$B32,tbLancamentos[Momento da falha],"&gt;="&amp;K$9,tbLancamentos[Momento da falha],"&lt;"&amp;L$9),0))</f>
        <v/>
      </c>
      <c r="L32" s="112" t="str">
        <f ca="1">IF($B32="","",IFERROR(COUNTIFS(tbLancamentos[Falha],$B32,tbLancamentos[Momento da falha],"&gt;="&amp;L$9,tbLancamentos[Momento da falha],"&lt;"&amp;M$9),0))</f>
        <v/>
      </c>
      <c r="M32" s="112" t="str">
        <f ca="1">IF($B32="","",IFERROR(COUNTIFS(tbLancamentos[Falha],$B32,tbLancamentos[Momento da falha],"&gt;="&amp;M$9,tbLancamentos[Momento da falha],"&lt;"&amp;N$9),0))</f>
        <v/>
      </c>
      <c r="N32" s="112" t="str">
        <f ca="1">IF($B32="","",IFERROR(COUNTIFS(tbLancamentos[Falha],$B32,tbLancamentos[Momento da falha],"&gt;="&amp;N$9,tbLancamentos[Momento da falha],"&lt;"&amp;O$9),0))</f>
        <v/>
      </c>
      <c r="O32" s="113" t="str">
        <f t="shared" ca="1" si="2"/>
        <v/>
      </c>
    </row>
    <row r="33" spans="1:15" ht="20.100000000000001" customHeight="1" x14ac:dyDescent="0.25">
      <c r="A33" s="10">
        <v>9</v>
      </c>
      <c r="B33" s="107" t="str">
        <f ca="1">IFERROR(INDEX(CadFal!$C$7:$E$26,MATCH(LARGE(CadFal!$D$7:$D$26,Res!A33),CadFal!$D$7:$D$26,0),1),"")</f>
        <v/>
      </c>
      <c r="C33" s="112" t="str">
        <f ca="1">IF($B33="","",IFERROR(COUNTIFS(tbLancamentos[Falha],$B33,tbLancamentos[Momento da falha],"&gt;="&amp;C$9,tbLancamentos[Momento da falha],"&lt;"&amp;D$9),0))</f>
        <v/>
      </c>
      <c r="D33" s="112" t="str">
        <f ca="1">IF($B33="","",IFERROR(COUNTIFS(tbLancamentos[Falha],$B33,tbLancamentos[Momento da falha],"&gt;="&amp;D$9,tbLancamentos[Momento da falha],"&lt;"&amp;E$9),0))</f>
        <v/>
      </c>
      <c r="E33" s="112" t="str">
        <f ca="1">IF($B33="","",IFERROR(COUNTIFS(tbLancamentos[Falha],$B33,tbLancamentos[Momento da falha],"&gt;="&amp;E$9,tbLancamentos[Momento da falha],"&lt;"&amp;F$9),0))</f>
        <v/>
      </c>
      <c r="F33" s="112" t="str">
        <f ca="1">IF($B33="","",IFERROR(COUNTIFS(tbLancamentos[Falha],$B33,tbLancamentos[Momento da falha],"&gt;="&amp;F$9,tbLancamentos[Momento da falha],"&lt;"&amp;G$9),0))</f>
        <v/>
      </c>
      <c r="G33" s="112" t="str">
        <f ca="1">IF($B33="","",IFERROR(COUNTIFS(tbLancamentos[Falha],$B33,tbLancamentos[Momento da falha],"&gt;="&amp;G$9,tbLancamentos[Momento da falha],"&lt;"&amp;H$9),0))</f>
        <v/>
      </c>
      <c r="H33" s="112" t="str">
        <f ca="1">IF($B33="","",IFERROR(COUNTIFS(tbLancamentos[Falha],$B33,tbLancamentos[Momento da falha],"&gt;="&amp;H$9,tbLancamentos[Momento da falha],"&lt;"&amp;I$9),0))</f>
        <v/>
      </c>
      <c r="I33" s="112" t="str">
        <f ca="1">IF($B33="","",IFERROR(COUNTIFS(tbLancamentos[Falha],$B33,tbLancamentos[Momento da falha],"&gt;="&amp;I$9,tbLancamentos[Momento da falha],"&lt;"&amp;J$9),0))</f>
        <v/>
      </c>
      <c r="J33" s="112" t="str">
        <f ca="1">IF($B33="","",IFERROR(COUNTIFS(tbLancamentos[Falha],$B33,tbLancamentos[Momento da falha],"&gt;="&amp;J$9,tbLancamentos[Momento da falha],"&lt;"&amp;K$9),0))</f>
        <v/>
      </c>
      <c r="K33" s="112" t="str">
        <f ca="1">IF($B33="","",IFERROR(COUNTIFS(tbLancamentos[Falha],$B33,tbLancamentos[Momento da falha],"&gt;="&amp;K$9,tbLancamentos[Momento da falha],"&lt;"&amp;L$9),0))</f>
        <v/>
      </c>
      <c r="L33" s="112" t="str">
        <f ca="1">IF($B33="","",IFERROR(COUNTIFS(tbLancamentos[Falha],$B33,tbLancamentos[Momento da falha],"&gt;="&amp;L$9,tbLancamentos[Momento da falha],"&lt;"&amp;M$9),0))</f>
        <v/>
      </c>
      <c r="M33" s="112" t="str">
        <f ca="1">IF($B33="","",IFERROR(COUNTIFS(tbLancamentos[Falha],$B33,tbLancamentos[Momento da falha],"&gt;="&amp;M$9,tbLancamentos[Momento da falha],"&lt;"&amp;N$9),0))</f>
        <v/>
      </c>
      <c r="N33" s="112" t="str">
        <f ca="1">IF($B33="","",IFERROR(COUNTIFS(tbLancamentos[Falha],$B33,tbLancamentos[Momento da falha],"&gt;="&amp;N$9,tbLancamentos[Momento da falha],"&lt;"&amp;O$9),0))</f>
        <v/>
      </c>
      <c r="O33" s="113" t="str">
        <f t="shared" ca="1" si="2"/>
        <v/>
      </c>
    </row>
    <row r="34" spans="1:15" ht="20.100000000000001" customHeight="1" x14ac:dyDescent="0.25">
      <c r="A34" s="10">
        <v>10</v>
      </c>
      <c r="B34" s="107" t="str">
        <f ca="1">IFERROR(INDEX(CadFal!$C$7:$E$26,MATCH(LARGE(CadFal!$D$7:$D$26,Res!A34),CadFal!$D$7:$D$26,0),1),"")</f>
        <v/>
      </c>
      <c r="C34" s="112" t="str">
        <f ca="1">IF($B34="","",IFERROR(COUNTIFS(tbLancamentos[Falha],$B34,tbLancamentos[Momento da falha],"&gt;="&amp;C$9,tbLancamentos[Momento da falha],"&lt;"&amp;D$9),0))</f>
        <v/>
      </c>
      <c r="D34" s="112" t="str">
        <f ca="1">IF($B34="","",IFERROR(COUNTIFS(tbLancamentos[Falha],$B34,tbLancamentos[Momento da falha],"&gt;="&amp;D$9,tbLancamentos[Momento da falha],"&lt;"&amp;E$9),0))</f>
        <v/>
      </c>
      <c r="E34" s="112" t="str">
        <f ca="1">IF($B34="","",IFERROR(COUNTIFS(tbLancamentos[Falha],$B34,tbLancamentos[Momento da falha],"&gt;="&amp;E$9,tbLancamentos[Momento da falha],"&lt;"&amp;F$9),0))</f>
        <v/>
      </c>
      <c r="F34" s="112" t="str">
        <f ca="1">IF($B34="","",IFERROR(COUNTIFS(tbLancamentos[Falha],$B34,tbLancamentos[Momento da falha],"&gt;="&amp;F$9,tbLancamentos[Momento da falha],"&lt;"&amp;G$9),0))</f>
        <v/>
      </c>
      <c r="G34" s="112" t="str">
        <f ca="1">IF($B34="","",IFERROR(COUNTIFS(tbLancamentos[Falha],$B34,tbLancamentos[Momento da falha],"&gt;="&amp;G$9,tbLancamentos[Momento da falha],"&lt;"&amp;H$9),0))</f>
        <v/>
      </c>
      <c r="H34" s="112" t="str">
        <f ca="1">IF($B34="","",IFERROR(COUNTIFS(tbLancamentos[Falha],$B34,tbLancamentos[Momento da falha],"&gt;="&amp;H$9,tbLancamentos[Momento da falha],"&lt;"&amp;I$9),0))</f>
        <v/>
      </c>
      <c r="I34" s="112" t="str">
        <f ca="1">IF($B34="","",IFERROR(COUNTIFS(tbLancamentos[Falha],$B34,tbLancamentos[Momento da falha],"&gt;="&amp;I$9,tbLancamentos[Momento da falha],"&lt;"&amp;J$9),0))</f>
        <v/>
      </c>
      <c r="J34" s="112" t="str">
        <f ca="1">IF($B34="","",IFERROR(COUNTIFS(tbLancamentos[Falha],$B34,tbLancamentos[Momento da falha],"&gt;="&amp;J$9,tbLancamentos[Momento da falha],"&lt;"&amp;K$9),0))</f>
        <v/>
      </c>
      <c r="K34" s="112" t="str">
        <f ca="1">IF($B34="","",IFERROR(COUNTIFS(tbLancamentos[Falha],$B34,tbLancamentos[Momento da falha],"&gt;="&amp;K$9,tbLancamentos[Momento da falha],"&lt;"&amp;L$9),0))</f>
        <v/>
      </c>
      <c r="L34" s="112" t="str">
        <f ca="1">IF($B34="","",IFERROR(COUNTIFS(tbLancamentos[Falha],$B34,tbLancamentos[Momento da falha],"&gt;="&amp;L$9,tbLancamentos[Momento da falha],"&lt;"&amp;M$9),0))</f>
        <v/>
      </c>
      <c r="M34" s="112" t="str">
        <f ca="1">IF($B34="","",IFERROR(COUNTIFS(tbLancamentos[Falha],$B34,tbLancamentos[Momento da falha],"&gt;="&amp;M$9,tbLancamentos[Momento da falha],"&lt;"&amp;N$9),0))</f>
        <v/>
      </c>
      <c r="N34" s="112" t="str">
        <f ca="1">IF($B34="","",IFERROR(COUNTIFS(tbLancamentos[Falha],$B34,tbLancamentos[Momento da falha],"&gt;="&amp;N$9,tbLancamentos[Momento da falha],"&lt;"&amp;O$9),0))</f>
        <v/>
      </c>
      <c r="O34" s="113" t="str">
        <f t="shared" ca="1" si="2"/>
        <v/>
      </c>
    </row>
    <row r="35" spans="1:15" ht="20.100000000000001" customHeight="1" x14ac:dyDescent="0.25">
      <c r="B35" s="110" t="s">
        <v>51</v>
      </c>
      <c r="C35" s="113">
        <f ca="1">SUM(C25:C34)</f>
        <v>1</v>
      </c>
      <c r="D35" s="113">
        <f t="shared" ref="D35" ca="1" si="3">SUM(D25:D34)</f>
        <v>0</v>
      </c>
      <c r="E35" s="113">
        <f t="shared" ref="E35" ca="1" si="4">SUM(E25:E34)</f>
        <v>0</v>
      </c>
      <c r="F35" s="113">
        <f t="shared" ref="F35" ca="1" si="5">SUM(F25:F34)</f>
        <v>0</v>
      </c>
      <c r="G35" s="113">
        <f t="shared" ref="G35" ca="1" si="6">SUM(G25:G34)</f>
        <v>0</v>
      </c>
      <c r="H35" s="113">
        <f t="shared" ref="H35" ca="1" si="7">SUM(H25:H34)</f>
        <v>0</v>
      </c>
      <c r="I35" s="113">
        <f t="shared" ref="I35" ca="1" si="8">SUM(I25:I34)</f>
        <v>0</v>
      </c>
      <c r="J35" s="113">
        <f t="shared" ref="J35" ca="1" si="9">SUM(J25:J34)</f>
        <v>0</v>
      </c>
      <c r="K35" s="113">
        <f t="shared" ref="K35" ca="1" si="10">SUM(K25:K34)</f>
        <v>0</v>
      </c>
      <c r="L35" s="113">
        <f t="shared" ref="L35" ca="1" si="11">SUM(L25:L34)</f>
        <v>0</v>
      </c>
      <c r="M35" s="113">
        <f t="shared" ref="M35" ca="1" si="12">SUM(M25:M34)</f>
        <v>0</v>
      </c>
      <c r="N35" s="113">
        <f t="shared" ref="N35" ca="1" si="13">SUM(N25:N34)</f>
        <v>0</v>
      </c>
      <c r="O35" s="111"/>
    </row>
    <row r="37" spans="1:15" ht="20.100000000000001" customHeight="1" x14ac:dyDescent="0.3">
      <c r="B37" s="103" t="s">
        <v>59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</row>
    <row r="38" spans="1:15" ht="20.100000000000001" customHeight="1" x14ac:dyDescent="0.25">
      <c r="B38" s="69" t="s">
        <v>26</v>
      </c>
      <c r="C38" s="106" t="s">
        <v>39</v>
      </c>
      <c r="D38" s="106" t="s">
        <v>40</v>
      </c>
      <c r="E38" s="106" t="s">
        <v>41</v>
      </c>
      <c r="F38" s="106" t="s">
        <v>42</v>
      </c>
      <c r="G38" s="106" t="s">
        <v>43</v>
      </c>
      <c r="H38" s="106" t="s">
        <v>44</v>
      </c>
      <c r="I38" s="106" t="s">
        <v>45</v>
      </c>
      <c r="J38" s="106" t="s">
        <v>46</v>
      </c>
      <c r="K38" s="106" t="s">
        <v>47</v>
      </c>
      <c r="L38" s="106" t="s">
        <v>48</v>
      </c>
      <c r="M38" s="106" t="s">
        <v>49</v>
      </c>
      <c r="N38" s="106" t="s">
        <v>50</v>
      </c>
      <c r="O38" s="106" t="s">
        <v>51</v>
      </c>
    </row>
    <row r="39" spans="1:15" ht="20.100000000000001" customHeight="1" x14ac:dyDescent="0.25">
      <c r="A39" s="10">
        <v>1</v>
      </c>
      <c r="B39" s="107" t="str">
        <f ca="1">IFERROR(INDEX(CadEqu!$F$7:$J$506,MATCH(LARGE(CadEqu!$J$7:$J$506,Res!A39),CadEqu!$J$7:$J$506,0),1),"")</f>
        <v>Administrativo - Câmera 1</v>
      </c>
      <c r="C39" s="108">
        <f ca="1">IF($B39="","",IFERROR(SUMIFS(tbLancamentos[Tempo indisponível],tbLancamentos[Equipamento],$B39,tbLancamentos[Momento da falha],"&gt;="&amp;C$9,tbLancamentos[Momento da falha],"&lt;"&amp;D$9),0))</f>
        <v>0.26380345476354705</v>
      </c>
      <c r="D39" s="108">
        <f ca="1">IF($B39="","",IFERROR(SUMIFS(tbLancamentos[Tempo indisponível],tbLancamentos[Equipamento],$B39,tbLancamentos[Momento da falha],"&gt;="&amp;D$9,tbLancamentos[Momento da falha],"&lt;"&amp;E$9),0))</f>
        <v>0</v>
      </c>
      <c r="E39" s="108">
        <f ca="1">IF($B39="","",IFERROR(SUMIFS(tbLancamentos[Tempo indisponível],tbLancamentos[Equipamento],$B39,tbLancamentos[Momento da falha],"&gt;="&amp;E$9,tbLancamentos[Momento da falha],"&lt;"&amp;F$9),0))</f>
        <v>0</v>
      </c>
      <c r="F39" s="108">
        <f ca="1">IF($B39="","",IFERROR(SUMIFS(tbLancamentos[Tempo indisponível],tbLancamentos[Equipamento],$B39,tbLancamentos[Momento da falha],"&gt;="&amp;F$9,tbLancamentos[Momento da falha],"&lt;"&amp;G$9),0))</f>
        <v>0</v>
      </c>
      <c r="G39" s="108">
        <f ca="1">IF($B39="","",IFERROR(SUMIFS(tbLancamentos[Tempo indisponível],tbLancamentos[Equipamento],$B39,tbLancamentos[Momento da falha],"&gt;="&amp;G$9,tbLancamentos[Momento da falha],"&lt;"&amp;H$9),0))</f>
        <v>0</v>
      </c>
      <c r="H39" s="108">
        <f ca="1">IF($B39="","",IFERROR(SUMIFS(tbLancamentos[Tempo indisponível],tbLancamentos[Equipamento],$B39,tbLancamentos[Momento da falha],"&gt;="&amp;H$9,tbLancamentos[Momento da falha],"&lt;"&amp;I$9),0))</f>
        <v>0</v>
      </c>
      <c r="I39" s="108">
        <f ca="1">IF($B39="","",IFERROR(SUMIFS(tbLancamentos[Tempo indisponível],tbLancamentos[Equipamento],$B39,tbLancamentos[Momento da falha],"&gt;="&amp;I$9,tbLancamentos[Momento da falha],"&lt;"&amp;J$9),0))</f>
        <v>0</v>
      </c>
      <c r="J39" s="108">
        <f ca="1">IF($B39="","",IFERROR(SUMIFS(tbLancamentos[Tempo indisponível],tbLancamentos[Equipamento],$B39,tbLancamentos[Momento da falha],"&gt;="&amp;J$9,tbLancamentos[Momento da falha],"&lt;"&amp;K$9),0))</f>
        <v>0</v>
      </c>
      <c r="K39" s="108">
        <f ca="1">IF($B39="","",IFERROR(SUMIFS(tbLancamentos[Tempo indisponível],tbLancamentos[Equipamento],$B39,tbLancamentos[Momento da falha],"&gt;="&amp;K$9,tbLancamentos[Momento da falha],"&lt;"&amp;L$9),0))</f>
        <v>0</v>
      </c>
      <c r="L39" s="108">
        <f ca="1">IF($B39="","",IFERROR(SUMIFS(tbLancamentos[Tempo indisponível],tbLancamentos[Equipamento],$B39,tbLancamentos[Momento da falha],"&gt;="&amp;L$9,tbLancamentos[Momento da falha],"&lt;"&amp;M$9),0))</f>
        <v>0</v>
      </c>
      <c r="M39" s="108">
        <f ca="1">IF($B39="","",IFERROR(SUMIFS(tbLancamentos[Tempo indisponível],tbLancamentos[Equipamento],$B39,tbLancamentos[Momento da falha],"&gt;="&amp;M$9,tbLancamentos[Momento da falha],"&lt;"&amp;N$9),0))</f>
        <v>0</v>
      </c>
      <c r="N39" s="108">
        <f ca="1">IF($B39="","",IFERROR(SUMIFS(tbLancamentos[Tempo indisponível],tbLancamentos[Equipamento],$B39,tbLancamentos[Momento da falha],"&gt;="&amp;N$9,tbLancamentos[Momento da falha],"&lt;"&amp;O$9),0))</f>
        <v>0</v>
      </c>
      <c r="O39" s="109">
        <f ca="1">IF(B39="","",SUM(C39:N39))</f>
        <v>0.26380345476354705</v>
      </c>
    </row>
    <row r="40" spans="1:15" ht="20.100000000000001" customHeight="1" x14ac:dyDescent="0.25">
      <c r="A40" s="10">
        <v>2</v>
      </c>
      <c r="B40" s="107" t="str">
        <f ca="1">IFERROR(INDEX(CadEqu!$F$7:$J$506,MATCH(LARGE(CadEqu!$J$7:$J$506,Res!A40),CadEqu!$J$7:$J$506,0),1),"")</f>
        <v>Administrativo - Sensor 1</v>
      </c>
      <c r="C40" s="108">
        <f ca="1">IF($B40="","",IFERROR(SUMIFS(tbLancamentos[Tempo indisponível],tbLancamentos[Equipamento],$B40,tbLancamentos[Momento da falha],"&gt;="&amp;C$9,tbLancamentos[Momento da falha],"&lt;"&amp;D$9),0))</f>
        <v>0</v>
      </c>
      <c r="D40" s="108">
        <f ca="1">IF($B40="","",IFERROR(SUMIFS(tbLancamentos[Tempo indisponível],tbLancamentos[Equipamento],$B40,tbLancamentos[Momento da falha],"&gt;="&amp;D$9,tbLancamentos[Momento da falha],"&lt;"&amp;E$9),0))</f>
        <v>0</v>
      </c>
      <c r="E40" s="108">
        <f ca="1">IF($B40="","",IFERROR(SUMIFS(tbLancamentos[Tempo indisponível],tbLancamentos[Equipamento],$B40,tbLancamentos[Momento da falha],"&gt;="&amp;E$9,tbLancamentos[Momento da falha],"&lt;"&amp;F$9),0))</f>
        <v>0</v>
      </c>
      <c r="F40" s="108">
        <f ca="1">IF($B40="","",IFERROR(SUMIFS(tbLancamentos[Tempo indisponível],tbLancamentos[Equipamento],$B40,tbLancamentos[Momento da falha],"&gt;="&amp;F$9,tbLancamentos[Momento da falha],"&lt;"&amp;G$9),0))</f>
        <v>0</v>
      </c>
      <c r="G40" s="108">
        <f ca="1">IF($B40="","",IFERROR(SUMIFS(tbLancamentos[Tempo indisponível],tbLancamentos[Equipamento],$B40,tbLancamentos[Momento da falha],"&gt;="&amp;G$9,tbLancamentos[Momento da falha],"&lt;"&amp;H$9),0))</f>
        <v>0</v>
      </c>
      <c r="H40" s="108">
        <f ca="1">IF($B40="","",IFERROR(SUMIFS(tbLancamentos[Tempo indisponível],tbLancamentos[Equipamento],$B40,tbLancamentos[Momento da falha],"&gt;="&amp;H$9,tbLancamentos[Momento da falha],"&lt;"&amp;I$9),0))</f>
        <v>0</v>
      </c>
      <c r="I40" s="108">
        <f ca="1">IF($B40="","",IFERROR(SUMIFS(tbLancamentos[Tempo indisponível],tbLancamentos[Equipamento],$B40,tbLancamentos[Momento da falha],"&gt;="&amp;I$9,tbLancamentos[Momento da falha],"&lt;"&amp;J$9),0))</f>
        <v>0</v>
      </c>
      <c r="J40" s="108">
        <f ca="1">IF($B40="","",IFERROR(SUMIFS(tbLancamentos[Tempo indisponível],tbLancamentos[Equipamento],$B40,tbLancamentos[Momento da falha],"&gt;="&amp;J$9,tbLancamentos[Momento da falha],"&lt;"&amp;K$9),0))</f>
        <v>0</v>
      </c>
      <c r="K40" s="108">
        <f ca="1">IF($B40="","",IFERROR(SUMIFS(tbLancamentos[Tempo indisponível],tbLancamentos[Equipamento],$B40,tbLancamentos[Momento da falha],"&gt;="&amp;K$9,tbLancamentos[Momento da falha],"&lt;"&amp;L$9),0))</f>
        <v>0</v>
      </c>
      <c r="L40" s="108">
        <f ca="1">IF($B40="","",IFERROR(SUMIFS(tbLancamentos[Tempo indisponível],tbLancamentos[Equipamento],$B40,tbLancamentos[Momento da falha],"&gt;="&amp;L$9,tbLancamentos[Momento da falha],"&lt;"&amp;M$9),0))</f>
        <v>0</v>
      </c>
      <c r="M40" s="108">
        <f ca="1">IF($B40="","",IFERROR(SUMIFS(tbLancamentos[Tempo indisponível],tbLancamentos[Equipamento],$B40,tbLancamentos[Momento da falha],"&gt;="&amp;M$9,tbLancamentos[Momento da falha],"&lt;"&amp;N$9),0))</f>
        <v>0</v>
      </c>
      <c r="N40" s="108">
        <f ca="1">IF($B40="","",IFERROR(SUMIFS(tbLancamentos[Tempo indisponível],tbLancamentos[Equipamento],$B40,tbLancamentos[Momento da falha],"&gt;="&amp;N$9,tbLancamentos[Momento da falha],"&lt;"&amp;O$9),0))</f>
        <v>0</v>
      </c>
      <c r="O40" s="109">
        <f t="shared" ref="O40:O48" ca="1" si="14">IF(B40="","",SUM(C40:N40))</f>
        <v>0</v>
      </c>
    </row>
    <row r="41" spans="1:15" ht="20.100000000000001" customHeight="1" x14ac:dyDescent="0.25">
      <c r="A41" s="10">
        <v>3</v>
      </c>
      <c r="B41" s="107" t="str">
        <f ca="1">IFERROR(INDEX(CadEqu!$F$7:$J$506,MATCH(LARGE(CadEqu!$J$7:$J$506,Res!A41),CadEqu!$J$7:$J$506,0),1),"")</f>
        <v>Administrativo - Central de alarme 1</v>
      </c>
      <c r="C41" s="108">
        <f ca="1">IF($B41="","",IFERROR(SUMIFS(tbLancamentos[Tempo indisponível],tbLancamentos[Equipamento],$B41,tbLancamentos[Momento da falha],"&gt;="&amp;C$9,tbLancamentos[Momento da falha],"&lt;"&amp;D$9),0))</f>
        <v>0</v>
      </c>
      <c r="D41" s="108">
        <f ca="1">IF($B41="","",IFERROR(SUMIFS(tbLancamentos[Tempo indisponível],tbLancamentos[Equipamento],$B41,tbLancamentos[Momento da falha],"&gt;="&amp;D$9,tbLancamentos[Momento da falha],"&lt;"&amp;E$9),0))</f>
        <v>0</v>
      </c>
      <c r="E41" s="108">
        <f ca="1">IF($B41="","",IFERROR(SUMIFS(tbLancamentos[Tempo indisponível],tbLancamentos[Equipamento],$B41,tbLancamentos[Momento da falha],"&gt;="&amp;E$9,tbLancamentos[Momento da falha],"&lt;"&amp;F$9),0))</f>
        <v>0</v>
      </c>
      <c r="F41" s="108">
        <f ca="1">IF($B41="","",IFERROR(SUMIFS(tbLancamentos[Tempo indisponível],tbLancamentos[Equipamento],$B41,tbLancamentos[Momento da falha],"&gt;="&amp;F$9,tbLancamentos[Momento da falha],"&lt;"&amp;G$9),0))</f>
        <v>0</v>
      </c>
      <c r="G41" s="108">
        <f ca="1">IF($B41="","",IFERROR(SUMIFS(tbLancamentos[Tempo indisponível],tbLancamentos[Equipamento],$B41,tbLancamentos[Momento da falha],"&gt;="&amp;G$9,tbLancamentos[Momento da falha],"&lt;"&amp;H$9),0))</f>
        <v>0</v>
      </c>
      <c r="H41" s="108">
        <f ca="1">IF($B41="","",IFERROR(SUMIFS(tbLancamentos[Tempo indisponível],tbLancamentos[Equipamento],$B41,tbLancamentos[Momento da falha],"&gt;="&amp;H$9,tbLancamentos[Momento da falha],"&lt;"&amp;I$9),0))</f>
        <v>0</v>
      </c>
      <c r="I41" s="108">
        <f ca="1">IF($B41="","",IFERROR(SUMIFS(tbLancamentos[Tempo indisponível],tbLancamentos[Equipamento],$B41,tbLancamentos[Momento da falha],"&gt;="&amp;I$9,tbLancamentos[Momento da falha],"&lt;"&amp;J$9),0))</f>
        <v>0</v>
      </c>
      <c r="J41" s="108">
        <f ca="1">IF($B41="","",IFERROR(SUMIFS(tbLancamentos[Tempo indisponível],tbLancamentos[Equipamento],$B41,tbLancamentos[Momento da falha],"&gt;="&amp;J$9,tbLancamentos[Momento da falha],"&lt;"&amp;K$9),0))</f>
        <v>0</v>
      </c>
      <c r="K41" s="108">
        <f ca="1">IF($B41="","",IFERROR(SUMIFS(tbLancamentos[Tempo indisponível],tbLancamentos[Equipamento],$B41,tbLancamentos[Momento da falha],"&gt;="&amp;K$9,tbLancamentos[Momento da falha],"&lt;"&amp;L$9),0))</f>
        <v>0</v>
      </c>
      <c r="L41" s="108">
        <f ca="1">IF($B41="","",IFERROR(SUMIFS(tbLancamentos[Tempo indisponível],tbLancamentos[Equipamento],$B41,tbLancamentos[Momento da falha],"&gt;="&amp;L$9,tbLancamentos[Momento da falha],"&lt;"&amp;M$9),0))</f>
        <v>0</v>
      </c>
      <c r="M41" s="108">
        <f ca="1">IF($B41="","",IFERROR(SUMIFS(tbLancamentos[Tempo indisponível],tbLancamentos[Equipamento],$B41,tbLancamentos[Momento da falha],"&gt;="&amp;M$9,tbLancamentos[Momento da falha],"&lt;"&amp;N$9),0))</f>
        <v>0</v>
      </c>
      <c r="N41" s="108">
        <f ca="1">IF($B41="","",IFERROR(SUMIFS(tbLancamentos[Tempo indisponível],tbLancamentos[Equipamento],$B41,tbLancamentos[Momento da falha],"&gt;="&amp;N$9,tbLancamentos[Momento da falha],"&lt;"&amp;O$9),0))</f>
        <v>0</v>
      </c>
      <c r="O41" s="109">
        <f t="shared" ca="1" si="14"/>
        <v>0</v>
      </c>
    </row>
    <row r="42" spans="1:15" ht="20.100000000000001" customHeight="1" x14ac:dyDescent="0.25">
      <c r="A42" s="10">
        <v>4</v>
      </c>
      <c r="B42" s="107" t="str">
        <f ca="1">IFERROR(INDEX(CadEqu!$F$7:$J$506,MATCH(LARGE(CadEqu!$J$7:$J$506,Res!A42),CadEqu!$J$7:$J$506,0),1),"")</f>
        <v>Administrativo - Servidor 1</v>
      </c>
      <c r="C42" s="108">
        <f ca="1">IF($B42="","",IFERROR(SUMIFS(tbLancamentos[Tempo indisponível],tbLancamentos[Equipamento],$B42,tbLancamentos[Momento da falha],"&gt;="&amp;C$9,tbLancamentos[Momento da falha],"&lt;"&amp;D$9),0))</f>
        <v>0</v>
      </c>
      <c r="D42" s="108">
        <f ca="1">IF($B42="","",IFERROR(SUMIFS(tbLancamentos[Tempo indisponível],tbLancamentos[Equipamento],$B42,tbLancamentos[Momento da falha],"&gt;="&amp;D$9,tbLancamentos[Momento da falha],"&lt;"&amp;E$9),0))</f>
        <v>0</v>
      </c>
      <c r="E42" s="108">
        <f ca="1">IF($B42="","",IFERROR(SUMIFS(tbLancamentos[Tempo indisponível],tbLancamentos[Equipamento],$B42,tbLancamentos[Momento da falha],"&gt;="&amp;E$9,tbLancamentos[Momento da falha],"&lt;"&amp;F$9),0))</f>
        <v>0</v>
      </c>
      <c r="F42" s="108">
        <f ca="1">IF($B42="","",IFERROR(SUMIFS(tbLancamentos[Tempo indisponível],tbLancamentos[Equipamento],$B42,tbLancamentos[Momento da falha],"&gt;="&amp;F$9,tbLancamentos[Momento da falha],"&lt;"&amp;G$9),0))</f>
        <v>0</v>
      </c>
      <c r="G42" s="108">
        <f ca="1">IF($B42="","",IFERROR(SUMIFS(tbLancamentos[Tempo indisponível],tbLancamentos[Equipamento],$B42,tbLancamentos[Momento da falha],"&gt;="&amp;G$9,tbLancamentos[Momento da falha],"&lt;"&amp;H$9),0))</f>
        <v>0</v>
      </c>
      <c r="H42" s="108">
        <f ca="1">IF($B42="","",IFERROR(SUMIFS(tbLancamentos[Tempo indisponível],tbLancamentos[Equipamento],$B42,tbLancamentos[Momento da falha],"&gt;="&amp;H$9,tbLancamentos[Momento da falha],"&lt;"&amp;I$9),0))</f>
        <v>0</v>
      </c>
      <c r="I42" s="108">
        <f ca="1">IF($B42="","",IFERROR(SUMIFS(tbLancamentos[Tempo indisponível],tbLancamentos[Equipamento],$B42,tbLancamentos[Momento da falha],"&gt;="&amp;I$9,tbLancamentos[Momento da falha],"&lt;"&amp;J$9),0))</f>
        <v>0</v>
      </c>
      <c r="J42" s="108">
        <f ca="1">IF($B42="","",IFERROR(SUMIFS(tbLancamentos[Tempo indisponível],tbLancamentos[Equipamento],$B42,tbLancamentos[Momento da falha],"&gt;="&amp;J$9,tbLancamentos[Momento da falha],"&lt;"&amp;K$9),0))</f>
        <v>0</v>
      </c>
      <c r="K42" s="108">
        <f ca="1">IF($B42="","",IFERROR(SUMIFS(tbLancamentos[Tempo indisponível],tbLancamentos[Equipamento],$B42,tbLancamentos[Momento da falha],"&gt;="&amp;K$9,tbLancamentos[Momento da falha],"&lt;"&amp;L$9),0))</f>
        <v>0</v>
      </c>
      <c r="L42" s="108">
        <f ca="1">IF($B42="","",IFERROR(SUMIFS(tbLancamentos[Tempo indisponível],tbLancamentos[Equipamento],$B42,tbLancamentos[Momento da falha],"&gt;="&amp;L$9,tbLancamentos[Momento da falha],"&lt;"&amp;M$9),0))</f>
        <v>0</v>
      </c>
      <c r="M42" s="108">
        <f ca="1">IF($B42="","",IFERROR(SUMIFS(tbLancamentos[Tempo indisponível],tbLancamentos[Equipamento],$B42,tbLancamentos[Momento da falha],"&gt;="&amp;M$9,tbLancamentos[Momento da falha],"&lt;"&amp;N$9),0))</f>
        <v>0</v>
      </c>
      <c r="N42" s="108">
        <f ca="1">IF($B42="","",IFERROR(SUMIFS(tbLancamentos[Tempo indisponível],tbLancamentos[Equipamento],$B42,tbLancamentos[Momento da falha],"&gt;="&amp;N$9,tbLancamentos[Momento da falha],"&lt;"&amp;O$9),0))</f>
        <v>0</v>
      </c>
      <c r="O42" s="109">
        <f t="shared" ca="1" si="14"/>
        <v>0</v>
      </c>
    </row>
    <row r="43" spans="1:15" ht="20.100000000000001" customHeight="1" x14ac:dyDescent="0.25">
      <c r="A43" s="10">
        <v>5</v>
      </c>
      <c r="B43" s="107" t="str">
        <f ca="1">IFERROR(INDEX(CadEqu!$F$7:$J$506,MATCH(LARGE(CadEqu!$J$7:$J$506,Res!A43),CadEqu!$J$7:$J$506,0),1),"")</f>
        <v>Administrativo - DVR 1</v>
      </c>
      <c r="C43" s="108">
        <f ca="1">IF($B43="","",IFERROR(SUMIFS(tbLancamentos[Tempo indisponível],tbLancamentos[Equipamento],$B43,tbLancamentos[Momento da falha],"&gt;="&amp;C$9,tbLancamentos[Momento da falha],"&lt;"&amp;D$9),0))</f>
        <v>0</v>
      </c>
      <c r="D43" s="108">
        <f ca="1">IF($B43="","",IFERROR(SUMIFS(tbLancamentos[Tempo indisponível],tbLancamentos[Equipamento],$B43,tbLancamentos[Momento da falha],"&gt;="&amp;D$9,tbLancamentos[Momento da falha],"&lt;"&amp;E$9),0))</f>
        <v>0</v>
      </c>
      <c r="E43" s="108">
        <f ca="1">IF($B43="","",IFERROR(SUMIFS(tbLancamentos[Tempo indisponível],tbLancamentos[Equipamento],$B43,tbLancamentos[Momento da falha],"&gt;="&amp;E$9,tbLancamentos[Momento da falha],"&lt;"&amp;F$9),0))</f>
        <v>0</v>
      </c>
      <c r="F43" s="108">
        <f ca="1">IF($B43="","",IFERROR(SUMIFS(tbLancamentos[Tempo indisponível],tbLancamentos[Equipamento],$B43,tbLancamentos[Momento da falha],"&gt;="&amp;F$9,tbLancamentos[Momento da falha],"&lt;"&amp;G$9),0))</f>
        <v>0</v>
      </c>
      <c r="G43" s="108">
        <f ca="1">IF($B43="","",IFERROR(SUMIFS(tbLancamentos[Tempo indisponível],tbLancamentos[Equipamento],$B43,tbLancamentos[Momento da falha],"&gt;="&amp;G$9,tbLancamentos[Momento da falha],"&lt;"&amp;H$9),0))</f>
        <v>0</v>
      </c>
      <c r="H43" s="108">
        <f ca="1">IF($B43="","",IFERROR(SUMIFS(tbLancamentos[Tempo indisponível],tbLancamentos[Equipamento],$B43,tbLancamentos[Momento da falha],"&gt;="&amp;H$9,tbLancamentos[Momento da falha],"&lt;"&amp;I$9),0))</f>
        <v>0</v>
      </c>
      <c r="I43" s="108">
        <f ca="1">IF($B43="","",IFERROR(SUMIFS(tbLancamentos[Tempo indisponível],tbLancamentos[Equipamento],$B43,tbLancamentos[Momento da falha],"&gt;="&amp;I$9,tbLancamentos[Momento da falha],"&lt;"&amp;J$9),0))</f>
        <v>0</v>
      </c>
      <c r="J43" s="108">
        <f ca="1">IF($B43="","",IFERROR(SUMIFS(tbLancamentos[Tempo indisponível],tbLancamentos[Equipamento],$B43,tbLancamentos[Momento da falha],"&gt;="&amp;J$9,tbLancamentos[Momento da falha],"&lt;"&amp;K$9),0))</f>
        <v>0</v>
      </c>
      <c r="K43" s="108">
        <f ca="1">IF($B43="","",IFERROR(SUMIFS(tbLancamentos[Tempo indisponível],tbLancamentos[Equipamento],$B43,tbLancamentos[Momento da falha],"&gt;="&amp;K$9,tbLancamentos[Momento da falha],"&lt;"&amp;L$9),0))</f>
        <v>0</v>
      </c>
      <c r="L43" s="108">
        <f ca="1">IF($B43="","",IFERROR(SUMIFS(tbLancamentos[Tempo indisponível],tbLancamentos[Equipamento],$B43,tbLancamentos[Momento da falha],"&gt;="&amp;L$9,tbLancamentos[Momento da falha],"&lt;"&amp;M$9),0))</f>
        <v>0</v>
      </c>
      <c r="M43" s="108">
        <f ca="1">IF($B43="","",IFERROR(SUMIFS(tbLancamentos[Tempo indisponível],tbLancamentos[Equipamento],$B43,tbLancamentos[Momento da falha],"&gt;="&amp;M$9,tbLancamentos[Momento da falha],"&lt;"&amp;N$9),0))</f>
        <v>0</v>
      </c>
      <c r="N43" s="108">
        <f ca="1">IF($B43="","",IFERROR(SUMIFS(tbLancamentos[Tempo indisponível],tbLancamentos[Equipamento],$B43,tbLancamentos[Momento da falha],"&gt;="&amp;N$9,tbLancamentos[Momento da falha],"&lt;"&amp;O$9),0))</f>
        <v>0</v>
      </c>
      <c r="O43" s="109">
        <f t="shared" ca="1" si="14"/>
        <v>0</v>
      </c>
    </row>
    <row r="44" spans="1:15" ht="20.100000000000001" customHeight="1" x14ac:dyDescent="0.25">
      <c r="A44" s="10">
        <v>6</v>
      </c>
      <c r="B44" s="107" t="str">
        <f ca="1">IFERROR(INDEX(CadEqu!$F$7:$J$506,MATCH(LARGE(CadEqu!$J$7:$J$506,Res!A44),CadEqu!$J$7:$J$506,0),1),"")</f>
        <v/>
      </c>
      <c r="C44" s="108" t="str">
        <f ca="1">IF($B44="","",IFERROR(SUMIFS(tbLancamentos[Tempo indisponível],tbLancamentos[Equipamento],$B44,tbLancamentos[Momento da falha],"&gt;="&amp;C$9,tbLancamentos[Momento da falha],"&lt;"&amp;D$9),0))</f>
        <v/>
      </c>
      <c r="D44" s="108" t="str">
        <f ca="1">IF($B44="","",IFERROR(SUMIFS(tbLancamentos[Tempo indisponível],tbLancamentos[Equipamento],$B44,tbLancamentos[Momento da falha],"&gt;="&amp;D$9,tbLancamentos[Momento da falha],"&lt;"&amp;E$9),0))</f>
        <v/>
      </c>
      <c r="E44" s="108" t="str">
        <f ca="1">IF($B44="","",IFERROR(SUMIFS(tbLancamentos[Tempo indisponível],tbLancamentos[Equipamento],$B44,tbLancamentos[Momento da falha],"&gt;="&amp;E$9,tbLancamentos[Momento da falha],"&lt;"&amp;F$9),0))</f>
        <v/>
      </c>
      <c r="F44" s="108" t="str">
        <f ca="1">IF($B44="","",IFERROR(SUMIFS(tbLancamentos[Tempo indisponível],tbLancamentos[Equipamento],$B44,tbLancamentos[Momento da falha],"&gt;="&amp;F$9,tbLancamentos[Momento da falha],"&lt;"&amp;G$9),0))</f>
        <v/>
      </c>
      <c r="G44" s="108" t="str">
        <f ca="1">IF($B44="","",IFERROR(SUMIFS(tbLancamentos[Tempo indisponível],tbLancamentos[Equipamento],$B44,tbLancamentos[Momento da falha],"&gt;="&amp;G$9,tbLancamentos[Momento da falha],"&lt;"&amp;H$9),0))</f>
        <v/>
      </c>
      <c r="H44" s="108" t="str">
        <f ca="1">IF($B44="","",IFERROR(SUMIFS(tbLancamentos[Tempo indisponível],tbLancamentos[Equipamento],$B44,tbLancamentos[Momento da falha],"&gt;="&amp;H$9,tbLancamentos[Momento da falha],"&lt;"&amp;I$9),0))</f>
        <v/>
      </c>
      <c r="I44" s="108" t="str">
        <f ca="1">IF($B44="","",IFERROR(SUMIFS(tbLancamentos[Tempo indisponível],tbLancamentos[Equipamento],$B44,tbLancamentos[Momento da falha],"&gt;="&amp;I$9,tbLancamentos[Momento da falha],"&lt;"&amp;J$9),0))</f>
        <v/>
      </c>
      <c r="J44" s="108" t="str">
        <f ca="1">IF($B44="","",IFERROR(SUMIFS(tbLancamentos[Tempo indisponível],tbLancamentos[Equipamento],$B44,tbLancamentos[Momento da falha],"&gt;="&amp;J$9,tbLancamentos[Momento da falha],"&lt;"&amp;K$9),0))</f>
        <v/>
      </c>
      <c r="K44" s="108" t="str">
        <f ca="1">IF($B44="","",IFERROR(SUMIFS(tbLancamentos[Tempo indisponível],tbLancamentos[Equipamento],$B44,tbLancamentos[Momento da falha],"&gt;="&amp;K$9,tbLancamentos[Momento da falha],"&lt;"&amp;L$9),0))</f>
        <v/>
      </c>
      <c r="L44" s="108" t="str">
        <f ca="1">IF($B44="","",IFERROR(SUMIFS(tbLancamentos[Tempo indisponível],tbLancamentos[Equipamento],$B44,tbLancamentos[Momento da falha],"&gt;="&amp;L$9,tbLancamentos[Momento da falha],"&lt;"&amp;M$9),0))</f>
        <v/>
      </c>
      <c r="M44" s="108" t="str">
        <f ca="1">IF($B44="","",IFERROR(SUMIFS(tbLancamentos[Tempo indisponível],tbLancamentos[Equipamento],$B44,tbLancamentos[Momento da falha],"&gt;="&amp;M$9,tbLancamentos[Momento da falha],"&lt;"&amp;N$9),0))</f>
        <v/>
      </c>
      <c r="N44" s="108" t="str">
        <f ca="1">IF($B44="","",IFERROR(SUMIFS(tbLancamentos[Tempo indisponível],tbLancamentos[Equipamento],$B44,tbLancamentos[Momento da falha],"&gt;="&amp;N$9,tbLancamentos[Momento da falha],"&lt;"&amp;O$9),0))</f>
        <v/>
      </c>
      <c r="O44" s="109" t="str">
        <f t="shared" ca="1" si="14"/>
        <v/>
      </c>
    </row>
    <row r="45" spans="1:15" ht="20.100000000000001" customHeight="1" x14ac:dyDescent="0.25">
      <c r="A45" s="10">
        <v>7</v>
      </c>
      <c r="B45" s="107" t="str">
        <f ca="1">IFERROR(INDEX(CadEqu!$F$7:$J$506,MATCH(LARGE(CadEqu!$J$7:$J$506,Res!A45),CadEqu!$J$7:$J$506,0),1),"")</f>
        <v/>
      </c>
      <c r="C45" s="108" t="str">
        <f ca="1">IF($B45="","",IFERROR(SUMIFS(tbLancamentos[Tempo indisponível],tbLancamentos[Equipamento],$B45,tbLancamentos[Momento da falha],"&gt;="&amp;C$9,tbLancamentos[Momento da falha],"&lt;"&amp;D$9),0))</f>
        <v/>
      </c>
      <c r="D45" s="108" t="str">
        <f ca="1">IF($B45="","",IFERROR(SUMIFS(tbLancamentos[Tempo indisponível],tbLancamentos[Equipamento],$B45,tbLancamentos[Momento da falha],"&gt;="&amp;D$9,tbLancamentos[Momento da falha],"&lt;"&amp;E$9),0))</f>
        <v/>
      </c>
      <c r="E45" s="108" t="str">
        <f ca="1">IF($B45="","",IFERROR(SUMIFS(tbLancamentos[Tempo indisponível],tbLancamentos[Equipamento],$B45,tbLancamentos[Momento da falha],"&gt;="&amp;E$9,tbLancamentos[Momento da falha],"&lt;"&amp;F$9),0))</f>
        <v/>
      </c>
      <c r="F45" s="108" t="str">
        <f ca="1">IF($B45="","",IFERROR(SUMIFS(tbLancamentos[Tempo indisponível],tbLancamentos[Equipamento],$B45,tbLancamentos[Momento da falha],"&gt;="&amp;F$9,tbLancamentos[Momento da falha],"&lt;"&amp;G$9),0))</f>
        <v/>
      </c>
      <c r="G45" s="108" t="str">
        <f ca="1">IF($B45="","",IFERROR(SUMIFS(tbLancamentos[Tempo indisponível],tbLancamentos[Equipamento],$B45,tbLancamentos[Momento da falha],"&gt;="&amp;G$9,tbLancamentos[Momento da falha],"&lt;"&amp;H$9),0))</f>
        <v/>
      </c>
      <c r="H45" s="108" t="str">
        <f ca="1">IF($B45="","",IFERROR(SUMIFS(tbLancamentos[Tempo indisponível],tbLancamentos[Equipamento],$B45,tbLancamentos[Momento da falha],"&gt;="&amp;H$9,tbLancamentos[Momento da falha],"&lt;"&amp;I$9),0))</f>
        <v/>
      </c>
      <c r="I45" s="108" t="str">
        <f ca="1">IF($B45="","",IFERROR(SUMIFS(tbLancamentos[Tempo indisponível],tbLancamentos[Equipamento],$B45,tbLancamentos[Momento da falha],"&gt;="&amp;I$9,tbLancamentos[Momento da falha],"&lt;"&amp;J$9),0))</f>
        <v/>
      </c>
      <c r="J45" s="108" t="str">
        <f ca="1">IF($B45="","",IFERROR(SUMIFS(tbLancamentos[Tempo indisponível],tbLancamentos[Equipamento],$B45,tbLancamentos[Momento da falha],"&gt;="&amp;J$9,tbLancamentos[Momento da falha],"&lt;"&amp;K$9),0))</f>
        <v/>
      </c>
      <c r="K45" s="108" t="str">
        <f ca="1">IF($B45="","",IFERROR(SUMIFS(tbLancamentos[Tempo indisponível],tbLancamentos[Equipamento],$B45,tbLancamentos[Momento da falha],"&gt;="&amp;K$9,tbLancamentos[Momento da falha],"&lt;"&amp;L$9),0))</f>
        <v/>
      </c>
      <c r="L45" s="108" t="str">
        <f ca="1">IF($B45="","",IFERROR(SUMIFS(tbLancamentos[Tempo indisponível],tbLancamentos[Equipamento],$B45,tbLancamentos[Momento da falha],"&gt;="&amp;L$9,tbLancamentos[Momento da falha],"&lt;"&amp;M$9),0))</f>
        <v/>
      </c>
      <c r="M45" s="108" t="str">
        <f ca="1">IF($B45="","",IFERROR(SUMIFS(tbLancamentos[Tempo indisponível],tbLancamentos[Equipamento],$B45,tbLancamentos[Momento da falha],"&gt;="&amp;M$9,tbLancamentos[Momento da falha],"&lt;"&amp;N$9),0))</f>
        <v/>
      </c>
      <c r="N45" s="108" t="str">
        <f ca="1">IF($B45="","",IFERROR(SUMIFS(tbLancamentos[Tempo indisponível],tbLancamentos[Equipamento],$B45,tbLancamentos[Momento da falha],"&gt;="&amp;N$9,tbLancamentos[Momento da falha],"&lt;"&amp;O$9),0))</f>
        <v/>
      </c>
      <c r="O45" s="109" t="str">
        <f t="shared" ca="1" si="14"/>
        <v/>
      </c>
    </row>
    <row r="46" spans="1:15" ht="20.100000000000001" customHeight="1" x14ac:dyDescent="0.25">
      <c r="A46" s="10">
        <v>8</v>
      </c>
      <c r="B46" s="107" t="str">
        <f ca="1">IFERROR(INDEX(CadEqu!$F$7:$J$506,MATCH(LARGE(CadEqu!$J$7:$J$506,Res!A46),CadEqu!$J$7:$J$506,0),1),"")</f>
        <v/>
      </c>
      <c r="C46" s="108" t="str">
        <f ca="1">IF($B46="","",IFERROR(SUMIFS(tbLancamentos[Tempo indisponível],tbLancamentos[Equipamento],$B46,tbLancamentos[Momento da falha],"&gt;="&amp;C$9,tbLancamentos[Momento da falha],"&lt;"&amp;D$9),0))</f>
        <v/>
      </c>
      <c r="D46" s="108" t="str">
        <f ca="1">IF($B46="","",IFERROR(SUMIFS(tbLancamentos[Tempo indisponível],tbLancamentos[Equipamento],$B46,tbLancamentos[Momento da falha],"&gt;="&amp;D$9,tbLancamentos[Momento da falha],"&lt;"&amp;E$9),0))</f>
        <v/>
      </c>
      <c r="E46" s="108" t="str">
        <f ca="1">IF($B46="","",IFERROR(SUMIFS(tbLancamentos[Tempo indisponível],tbLancamentos[Equipamento],$B46,tbLancamentos[Momento da falha],"&gt;="&amp;E$9,tbLancamentos[Momento da falha],"&lt;"&amp;F$9),0))</f>
        <v/>
      </c>
      <c r="F46" s="108" t="str">
        <f ca="1">IF($B46="","",IFERROR(SUMIFS(tbLancamentos[Tempo indisponível],tbLancamentos[Equipamento],$B46,tbLancamentos[Momento da falha],"&gt;="&amp;F$9,tbLancamentos[Momento da falha],"&lt;"&amp;G$9),0))</f>
        <v/>
      </c>
      <c r="G46" s="108" t="str">
        <f ca="1">IF($B46="","",IFERROR(SUMIFS(tbLancamentos[Tempo indisponível],tbLancamentos[Equipamento],$B46,tbLancamentos[Momento da falha],"&gt;="&amp;G$9,tbLancamentos[Momento da falha],"&lt;"&amp;H$9),0))</f>
        <v/>
      </c>
      <c r="H46" s="108" t="str">
        <f ca="1">IF($B46="","",IFERROR(SUMIFS(tbLancamentos[Tempo indisponível],tbLancamentos[Equipamento],$B46,tbLancamentos[Momento da falha],"&gt;="&amp;H$9,tbLancamentos[Momento da falha],"&lt;"&amp;I$9),0))</f>
        <v/>
      </c>
      <c r="I46" s="108" t="str">
        <f ca="1">IF($B46="","",IFERROR(SUMIFS(tbLancamentos[Tempo indisponível],tbLancamentos[Equipamento],$B46,tbLancamentos[Momento da falha],"&gt;="&amp;I$9,tbLancamentos[Momento da falha],"&lt;"&amp;J$9),0))</f>
        <v/>
      </c>
      <c r="J46" s="108" t="str">
        <f ca="1">IF($B46="","",IFERROR(SUMIFS(tbLancamentos[Tempo indisponível],tbLancamentos[Equipamento],$B46,tbLancamentos[Momento da falha],"&gt;="&amp;J$9,tbLancamentos[Momento da falha],"&lt;"&amp;K$9),0))</f>
        <v/>
      </c>
      <c r="K46" s="108" t="str">
        <f ca="1">IF($B46="","",IFERROR(SUMIFS(tbLancamentos[Tempo indisponível],tbLancamentos[Equipamento],$B46,tbLancamentos[Momento da falha],"&gt;="&amp;K$9,tbLancamentos[Momento da falha],"&lt;"&amp;L$9),0))</f>
        <v/>
      </c>
      <c r="L46" s="108" t="str">
        <f ca="1">IF($B46="","",IFERROR(SUMIFS(tbLancamentos[Tempo indisponível],tbLancamentos[Equipamento],$B46,tbLancamentos[Momento da falha],"&gt;="&amp;L$9,tbLancamentos[Momento da falha],"&lt;"&amp;M$9),0))</f>
        <v/>
      </c>
      <c r="M46" s="108" t="str">
        <f ca="1">IF($B46="","",IFERROR(SUMIFS(tbLancamentos[Tempo indisponível],tbLancamentos[Equipamento],$B46,tbLancamentos[Momento da falha],"&gt;="&amp;M$9,tbLancamentos[Momento da falha],"&lt;"&amp;N$9),0))</f>
        <v/>
      </c>
      <c r="N46" s="108" t="str">
        <f ca="1">IF($B46="","",IFERROR(SUMIFS(tbLancamentos[Tempo indisponível],tbLancamentos[Equipamento],$B46,tbLancamentos[Momento da falha],"&gt;="&amp;N$9,tbLancamentos[Momento da falha],"&lt;"&amp;O$9),0))</f>
        <v/>
      </c>
      <c r="O46" s="109" t="str">
        <f t="shared" ca="1" si="14"/>
        <v/>
      </c>
    </row>
    <row r="47" spans="1:15" ht="20.100000000000001" customHeight="1" x14ac:dyDescent="0.25">
      <c r="A47" s="10">
        <v>9</v>
      </c>
      <c r="B47" s="107" t="str">
        <f ca="1">IFERROR(INDEX(CadEqu!$F$7:$J$506,MATCH(LARGE(CadEqu!$J$7:$J$506,Res!A47),CadEqu!$J$7:$J$506,0),1),"")</f>
        <v/>
      </c>
      <c r="C47" s="108" t="str">
        <f ca="1">IF($B47="","",IFERROR(SUMIFS(tbLancamentos[Tempo indisponível],tbLancamentos[Equipamento],$B47,tbLancamentos[Momento da falha],"&gt;="&amp;C$9,tbLancamentos[Momento da falha],"&lt;"&amp;D$9),0))</f>
        <v/>
      </c>
      <c r="D47" s="108" t="str">
        <f ca="1">IF($B47="","",IFERROR(SUMIFS(tbLancamentos[Tempo indisponível],tbLancamentos[Equipamento],$B47,tbLancamentos[Momento da falha],"&gt;="&amp;D$9,tbLancamentos[Momento da falha],"&lt;"&amp;E$9),0))</f>
        <v/>
      </c>
      <c r="E47" s="108" t="str">
        <f ca="1">IF($B47="","",IFERROR(SUMIFS(tbLancamentos[Tempo indisponível],tbLancamentos[Equipamento],$B47,tbLancamentos[Momento da falha],"&gt;="&amp;E$9,tbLancamentos[Momento da falha],"&lt;"&amp;F$9),0))</f>
        <v/>
      </c>
      <c r="F47" s="108" t="str">
        <f ca="1">IF($B47="","",IFERROR(SUMIFS(tbLancamentos[Tempo indisponível],tbLancamentos[Equipamento],$B47,tbLancamentos[Momento da falha],"&gt;="&amp;F$9,tbLancamentos[Momento da falha],"&lt;"&amp;G$9),0))</f>
        <v/>
      </c>
      <c r="G47" s="108" t="str">
        <f ca="1">IF($B47="","",IFERROR(SUMIFS(tbLancamentos[Tempo indisponível],tbLancamentos[Equipamento],$B47,tbLancamentos[Momento da falha],"&gt;="&amp;G$9,tbLancamentos[Momento da falha],"&lt;"&amp;H$9),0))</f>
        <v/>
      </c>
      <c r="H47" s="108" t="str">
        <f ca="1">IF($B47="","",IFERROR(SUMIFS(tbLancamentos[Tempo indisponível],tbLancamentos[Equipamento],$B47,tbLancamentos[Momento da falha],"&gt;="&amp;H$9,tbLancamentos[Momento da falha],"&lt;"&amp;I$9),0))</f>
        <v/>
      </c>
      <c r="I47" s="108" t="str">
        <f ca="1">IF($B47="","",IFERROR(SUMIFS(tbLancamentos[Tempo indisponível],tbLancamentos[Equipamento],$B47,tbLancamentos[Momento da falha],"&gt;="&amp;I$9,tbLancamentos[Momento da falha],"&lt;"&amp;J$9),0))</f>
        <v/>
      </c>
      <c r="J47" s="108" t="str">
        <f ca="1">IF($B47="","",IFERROR(SUMIFS(tbLancamentos[Tempo indisponível],tbLancamentos[Equipamento],$B47,tbLancamentos[Momento da falha],"&gt;="&amp;J$9,tbLancamentos[Momento da falha],"&lt;"&amp;K$9),0))</f>
        <v/>
      </c>
      <c r="K47" s="108" t="str">
        <f ca="1">IF($B47="","",IFERROR(SUMIFS(tbLancamentos[Tempo indisponível],tbLancamentos[Equipamento],$B47,tbLancamentos[Momento da falha],"&gt;="&amp;K$9,tbLancamentos[Momento da falha],"&lt;"&amp;L$9),0))</f>
        <v/>
      </c>
      <c r="L47" s="108" t="str">
        <f ca="1">IF($B47="","",IFERROR(SUMIFS(tbLancamentos[Tempo indisponível],tbLancamentos[Equipamento],$B47,tbLancamentos[Momento da falha],"&gt;="&amp;L$9,tbLancamentos[Momento da falha],"&lt;"&amp;M$9),0))</f>
        <v/>
      </c>
      <c r="M47" s="108" t="str">
        <f ca="1">IF($B47="","",IFERROR(SUMIFS(tbLancamentos[Tempo indisponível],tbLancamentos[Equipamento],$B47,tbLancamentos[Momento da falha],"&gt;="&amp;M$9,tbLancamentos[Momento da falha],"&lt;"&amp;N$9),0))</f>
        <v/>
      </c>
      <c r="N47" s="108" t="str">
        <f ca="1">IF($B47="","",IFERROR(SUMIFS(tbLancamentos[Tempo indisponível],tbLancamentos[Equipamento],$B47,tbLancamentos[Momento da falha],"&gt;="&amp;N$9,tbLancamentos[Momento da falha],"&lt;"&amp;O$9),0))</f>
        <v/>
      </c>
      <c r="O47" s="109" t="str">
        <f t="shared" ca="1" si="14"/>
        <v/>
      </c>
    </row>
    <row r="48" spans="1:15" ht="20.100000000000001" customHeight="1" x14ac:dyDescent="0.25">
      <c r="A48" s="10">
        <v>10</v>
      </c>
      <c r="B48" s="107" t="str">
        <f ca="1">IFERROR(INDEX(CadEqu!$F$7:$J$506,MATCH(LARGE(CadEqu!$J$7:$J$506,Res!A48),CadEqu!$J$7:$J$506,0),1),"")</f>
        <v/>
      </c>
      <c r="C48" s="108" t="str">
        <f ca="1">IF($B48="","",IFERROR(SUMIFS(tbLancamentos[Tempo indisponível],tbLancamentos[Equipamento],$B48,tbLancamentos[Momento da falha],"&gt;="&amp;C$9,tbLancamentos[Momento da falha],"&lt;"&amp;D$9),0))</f>
        <v/>
      </c>
      <c r="D48" s="108" t="str">
        <f ca="1">IF($B48="","",IFERROR(SUMIFS(tbLancamentos[Tempo indisponível],tbLancamentos[Equipamento],$B48,tbLancamentos[Momento da falha],"&gt;="&amp;D$9,tbLancamentos[Momento da falha],"&lt;"&amp;E$9),0))</f>
        <v/>
      </c>
      <c r="E48" s="108" t="str">
        <f ca="1">IF($B48="","",IFERROR(SUMIFS(tbLancamentos[Tempo indisponível],tbLancamentos[Equipamento],$B48,tbLancamentos[Momento da falha],"&gt;="&amp;E$9,tbLancamentos[Momento da falha],"&lt;"&amp;F$9),0))</f>
        <v/>
      </c>
      <c r="F48" s="108" t="str">
        <f ca="1">IF($B48="","",IFERROR(SUMIFS(tbLancamentos[Tempo indisponível],tbLancamentos[Equipamento],$B48,tbLancamentos[Momento da falha],"&gt;="&amp;F$9,tbLancamentos[Momento da falha],"&lt;"&amp;G$9),0))</f>
        <v/>
      </c>
      <c r="G48" s="108" t="str">
        <f ca="1">IF($B48="","",IFERROR(SUMIFS(tbLancamentos[Tempo indisponível],tbLancamentos[Equipamento],$B48,tbLancamentos[Momento da falha],"&gt;="&amp;G$9,tbLancamentos[Momento da falha],"&lt;"&amp;H$9),0))</f>
        <v/>
      </c>
      <c r="H48" s="108" t="str">
        <f ca="1">IF($B48="","",IFERROR(SUMIFS(tbLancamentos[Tempo indisponível],tbLancamentos[Equipamento],$B48,tbLancamentos[Momento da falha],"&gt;="&amp;H$9,tbLancamentos[Momento da falha],"&lt;"&amp;I$9),0))</f>
        <v/>
      </c>
      <c r="I48" s="108" t="str">
        <f ca="1">IF($B48="","",IFERROR(SUMIFS(tbLancamentos[Tempo indisponível],tbLancamentos[Equipamento],$B48,tbLancamentos[Momento da falha],"&gt;="&amp;I$9,tbLancamentos[Momento da falha],"&lt;"&amp;J$9),0))</f>
        <v/>
      </c>
      <c r="J48" s="108" t="str">
        <f ca="1">IF($B48="","",IFERROR(SUMIFS(tbLancamentos[Tempo indisponível],tbLancamentos[Equipamento],$B48,tbLancamentos[Momento da falha],"&gt;="&amp;J$9,tbLancamentos[Momento da falha],"&lt;"&amp;K$9),0))</f>
        <v/>
      </c>
      <c r="K48" s="108" t="str">
        <f ca="1">IF($B48="","",IFERROR(SUMIFS(tbLancamentos[Tempo indisponível],tbLancamentos[Equipamento],$B48,tbLancamentos[Momento da falha],"&gt;="&amp;K$9,tbLancamentos[Momento da falha],"&lt;"&amp;L$9),0))</f>
        <v/>
      </c>
      <c r="L48" s="108" t="str">
        <f ca="1">IF($B48="","",IFERROR(SUMIFS(tbLancamentos[Tempo indisponível],tbLancamentos[Equipamento],$B48,tbLancamentos[Momento da falha],"&gt;="&amp;L$9,tbLancamentos[Momento da falha],"&lt;"&amp;M$9),0))</f>
        <v/>
      </c>
      <c r="M48" s="108" t="str">
        <f ca="1">IF($B48="","",IFERROR(SUMIFS(tbLancamentos[Tempo indisponível],tbLancamentos[Equipamento],$B48,tbLancamentos[Momento da falha],"&gt;="&amp;M$9,tbLancamentos[Momento da falha],"&lt;"&amp;N$9),0))</f>
        <v/>
      </c>
      <c r="N48" s="108" t="str">
        <f ca="1">IF($B48="","",IFERROR(SUMIFS(tbLancamentos[Tempo indisponível],tbLancamentos[Equipamento],$B48,tbLancamentos[Momento da falha],"&gt;="&amp;N$9,tbLancamentos[Momento da falha],"&lt;"&amp;O$9),0))</f>
        <v/>
      </c>
      <c r="O48" s="109" t="str">
        <f t="shared" ca="1" si="14"/>
        <v/>
      </c>
    </row>
    <row r="49" spans="1:15" ht="20.100000000000001" customHeight="1" x14ac:dyDescent="0.25">
      <c r="B49" s="110" t="s">
        <v>51</v>
      </c>
      <c r="C49" s="109">
        <f ca="1">SUM(C39:C48)</f>
        <v>0.26380345476354705</v>
      </c>
      <c r="D49" s="109">
        <f t="shared" ref="D49" ca="1" si="15">SUM(D39:D48)</f>
        <v>0</v>
      </c>
      <c r="E49" s="109">
        <f t="shared" ref="E49" ca="1" si="16">SUM(E39:E48)</f>
        <v>0</v>
      </c>
      <c r="F49" s="109">
        <f t="shared" ref="F49" ca="1" si="17">SUM(F39:F48)</f>
        <v>0</v>
      </c>
      <c r="G49" s="109">
        <f t="shared" ref="G49" ca="1" si="18">SUM(G39:G48)</f>
        <v>0</v>
      </c>
      <c r="H49" s="109">
        <f t="shared" ref="H49" ca="1" si="19">SUM(H39:H48)</f>
        <v>0</v>
      </c>
      <c r="I49" s="109">
        <f t="shared" ref="I49" ca="1" si="20">SUM(I39:I48)</f>
        <v>0</v>
      </c>
      <c r="J49" s="109">
        <f t="shared" ref="J49" ca="1" si="21">SUM(J39:J48)</f>
        <v>0</v>
      </c>
      <c r="K49" s="109">
        <f t="shared" ref="K49" ca="1" si="22">SUM(K39:K48)</f>
        <v>0</v>
      </c>
      <c r="L49" s="109">
        <f t="shared" ref="L49" ca="1" si="23">SUM(L39:L48)</f>
        <v>0</v>
      </c>
      <c r="M49" s="109">
        <f t="shared" ref="M49" ca="1" si="24">SUM(M39:M48)</f>
        <v>0</v>
      </c>
      <c r="N49" s="109">
        <f t="shared" ref="N49" ca="1" si="25">SUM(N39:N48)</f>
        <v>0</v>
      </c>
      <c r="O49" s="111"/>
    </row>
    <row r="51" spans="1:15" ht="20.100000000000001" customHeight="1" x14ac:dyDescent="0.3">
      <c r="B51" s="103" t="s">
        <v>58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</row>
    <row r="52" spans="1:15" ht="20.100000000000001" customHeight="1" x14ac:dyDescent="0.25">
      <c r="B52" s="69" t="s">
        <v>26</v>
      </c>
      <c r="C52" s="106" t="s">
        <v>39</v>
      </c>
      <c r="D52" s="106" t="s">
        <v>40</v>
      </c>
      <c r="E52" s="106" t="s">
        <v>41</v>
      </c>
      <c r="F52" s="106" t="s">
        <v>42</v>
      </c>
      <c r="G52" s="106" t="s">
        <v>43</v>
      </c>
      <c r="H52" s="106" t="s">
        <v>44</v>
      </c>
      <c r="I52" s="106" t="s">
        <v>45</v>
      </c>
      <c r="J52" s="106" t="s">
        <v>46</v>
      </c>
      <c r="K52" s="106" t="s">
        <v>47</v>
      </c>
      <c r="L52" s="106" t="s">
        <v>48</v>
      </c>
      <c r="M52" s="106" t="s">
        <v>49</v>
      </c>
      <c r="N52" s="106" t="s">
        <v>50</v>
      </c>
      <c r="O52" s="106" t="s">
        <v>51</v>
      </c>
    </row>
    <row r="53" spans="1:15" ht="20.100000000000001" customHeight="1" x14ac:dyDescent="0.25">
      <c r="A53" s="10">
        <v>1</v>
      </c>
      <c r="B53" s="107" t="str">
        <f ca="1">IFERROR(INDEX(CadEqu!$F$7:$J$506,MATCH(LARGE(CadEqu!$I$7:$I$506,Res!A53),CadEqu!$I$7:$I$506,0),1),"")</f>
        <v>Administrativo - Câmera 1</v>
      </c>
      <c r="C53" s="112">
        <f ca="1">IF($B53="","",IFERROR(COUNTIFS(tbLancamentos[Equipamento],$B53,tbLancamentos[Momento da falha],"&gt;="&amp;C$9,tbLancamentos[Momento da falha],"&lt;"&amp;D$9),0))</f>
        <v>1</v>
      </c>
      <c r="D53" s="112">
        <f ca="1">IF($B53="","",IFERROR(COUNTIFS(tbLancamentos[Equipamento],$B53,tbLancamentos[Momento da falha],"&gt;="&amp;D$9,tbLancamentos[Momento da falha],"&lt;"&amp;E$9),0))</f>
        <v>0</v>
      </c>
      <c r="E53" s="112">
        <f ca="1">IF($B53="","",IFERROR(COUNTIFS(tbLancamentos[Equipamento],$B53,tbLancamentos[Momento da falha],"&gt;="&amp;E$9,tbLancamentos[Momento da falha],"&lt;"&amp;F$9),0))</f>
        <v>0</v>
      </c>
      <c r="F53" s="112">
        <f ca="1">IF($B53="","",IFERROR(COUNTIFS(tbLancamentos[Equipamento],$B53,tbLancamentos[Momento da falha],"&gt;="&amp;F$9,tbLancamentos[Momento da falha],"&lt;"&amp;G$9),0))</f>
        <v>0</v>
      </c>
      <c r="G53" s="112">
        <f ca="1">IF($B53="","",IFERROR(COUNTIFS(tbLancamentos[Equipamento],$B53,tbLancamentos[Momento da falha],"&gt;="&amp;G$9,tbLancamentos[Momento da falha],"&lt;"&amp;H$9),0))</f>
        <v>0</v>
      </c>
      <c r="H53" s="112">
        <f ca="1">IF($B53="","",IFERROR(COUNTIFS(tbLancamentos[Equipamento],$B53,tbLancamentos[Momento da falha],"&gt;="&amp;H$9,tbLancamentos[Momento da falha],"&lt;"&amp;I$9),0))</f>
        <v>0</v>
      </c>
      <c r="I53" s="112">
        <f ca="1">IF($B53="","",IFERROR(COUNTIFS(tbLancamentos[Equipamento],$B53,tbLancamentos[Momento da falha],"&gt;="&amp;I$9,tbLancamentos[Momento da falha],"&lt;"&amp;J$9),0))</f>
        <v>0</v>
      </c>
      <c r="J53" s="112">
        <f ca="1">IF($B53="","",IFERROR(COUNTIFS(tbLancamentos[Equipamento],$B53,tbLancamentos[Momento da falha],"&gt;="&amp;J$9,tbLancamentos[Momento da falha],"&lt;"&amp;K$9),0))</f>
        <v>0</v>
      </c>
      <c r="K53" s="112">
        <f ca="1">IF($B53="","",IFERROR(COUNTIFS(tbLancamentos[Equipamento],$B53,tbLancamentos[Momento da falha],"&gt;="&amp;K$9,tbLancamentos[Momento da falha],"&lt;"&amp;L$9),0))</f>
        <v>0</v>
      </c>
      <c r="L53" s="112">
        <f ca="1">IF($B53="","",IFERROR(COUNTIFS(tbLancamentos[Equipamento],$B53,tbLancamentos[Momento da falha],"&gt;="&amp;L$9,tbLancamentos[Momento da falha],"&lt;"&amp;M$9),0))</f>
        <v>0</v>
      </c>
      <c r="M53" s="112">
        <f ca="1">IF($B53="","",IFERROR(COUNTIFS(tbLancamentos[Equipamento],$B53,tbLancamentos[Momento da falha],"&gt;="&amp;M$9,tbLancamentos[Momento da falha],"&lt;"&amp;N$9),0))</f>
        <v>0</v>
      </c>
      <c r="N53" s="112">
        <f ca="1">IF($B53="","",IFERROR(COUNTIFS(tbLancamentos[Equipamento],$B53,tbLancamentos[Momento da falha],"&gt;="&amp;N$9,tbLancamentos[Momento da falha],"&lt;"&amp;O$9),0))</f>
        <v>0</v>
      </c>
      <c r="O53" s="113">
        <f ca="1">IF(B53="","",SUM(C53:N53))</f>
        <v>1</v>
      </c>
    </row>
    <row r="54" spans="1:15" ht="20.100000000000001" customHeight="1" x14ac:dyDescent="0.25">
      <c r="A54" s="10">
        <v>2</v>
      </c>
      <c r="B54" s="107" t="str">
        <f ca="1">IFERROR(INDEX(CadEqu!$F$7:$J$506,MATCH(LARGE(CadEqu!$I$7:$I$506,Res!A54),CadEqu!$I$7:$I$506,0),1),"")</f>
        <v>Administrativo - Sensor 1</v>
      </c>
      <c r="C54" s="112">
        <f ca="1">IF($B54="","",IFERROR(COUNTIFS(tbLancamentos[Equipamento],$B54,tbLancamentos[Momento da falha],"&gt;="&amp;C$9,tbLancamentos[Momento da falha],"&lt;"&amp;D$9),0))</f>
        <v>0</v>
      </c>
      <c r="D54" s="112">
        <f ca="1">IF($B54="","",IFERROR(COUNTIFS(tbLancamentos[Equipamento],$B54,tbLancamentos[Momento da falha],"&gt;="&amp;D$9,tbLancamentos[Momento da falha],"&lt;"&amp;E$9),0))</f>
        <v>0</v>
      </c>
      <c r="E54" s="112">
        <f ca="1">IF($B54="","",IFERROR(COUNTIFS(tbLancamentos[Equipamento],$B54,tbLancamentos[Momento da falha],"&gt;="&amp;E$9,tbLancamentos[Momento da falha],"&lt;"&amp;F$9),0))</f>
        <v>0</v>
      </c>
      <c r="F54" s="112">
        <f ca="1">IF($B54="","",IFERROR(COUNTIFS(tbLancamentos[Equipamento],$B54,tbLancamentos[Momento da falha],"&gt;="&amp;F$9,tbLancamentos[Momento da falha],"&lt;"&amp;G$9),0))</f>
        <v>0</v>
      </c>
      <c r="G54" s="112">
        <f ca="1">IF($B54="","",IFERROR(COUNTIFS(tbLancamentos[Equipamento],$B54,tbLancamentos[Momento da falha],"&gt;="&amp;G$9,tbLancamentos[Momento da falha],"&lt;"&amp;H$9),0))</f>
        <v>0</v>
      </c>
      <c r="H54" s="112">
        <f ca="1">IF($B54="","",IFERROR(COUNTIFS(tbLancamentos[Equipamento],$B54,tbLancamentos[Momento da falha],"&gt;="&amp;H$9,tbLancamentos[Momento da falha],"&lt;"&amp;I$9),0))</f>
        <v>0</v>
      </c>
      <c r="I54" s="112">
        <f ca="1">IF($B54="","",IFERROR(COUNTIFS(tbLancamentos[Equipamento],$B54,tbLancamentos[Momento da falha],"&gt;="&amp;I$9,tbLancamentos[Momento da falha],"&lt;"&amp;J$9),0))</f>
        <v>0</v>
      </c>
      <c r="J54" s="112">
        <f ca="1">IF($B54="","",IFERROR(COUNTIFS(tbLancamentos[Equipamento],$B54,tbLancamentos[Momento da falha],"&gt;="&amp;J$9,tbLancamentos[Momento da falha],"&lt;"&amp;K$9),0))</f>
        <v>0</v>
      </c>
      <c r="K54" s="112">
        <f ca="1">IF($B54="","",IFERROR(COUNTIFS(tbLancamentos[Equipamento],$B54,tbLancamentos[Momento da falha],"&gt;="&amp;K$9,tbLancamentos[Momento da falha],"&lt;"&amp;L$9),0))</f>
        <v>0</v>
      </c>
      <c r="L54" s="112">
        <f ca="1">IF($B54="","",IFERROR(COUNTIFS(tbLancamentos[Equipamento],$B54,tbLancamentos[Momento da falha],"&gt;="&amp;L$9,tbLancamentos[Momento da falha],"&lt;"&amp;M$9),0))</f>
        <v>0</v>
      </c>
      <c r="M54" s="112">
        <f ca="1">IF($B54="","",IFERROR(COUNTIFS(tbLancamentos[Equipamento],$B54,tbLancamentos[Momento da falha],"&gt;="&amp;M$9,tbLancamentos[Momento da falha],"&lt;"&amp;N$9),0))</f>
        <v>0</v>
      </c>
      <c r="N54" s="112">
        <f ca="1">IF($B54="","",IFERROR(COUNTIFS(tbLancamentos[Equipamento],$B54,tbLancamentos[Momento da falha],"&gt;="&amp;N$9,tbLancamentos[Momento da falha],"&lt;"&amp;O$9),0))</f>
        <v>0</v>
      </c>
      <c r="O54" s="113">
        <f t="shared" ref="O54:O62" ca="1" si="26">IF(B54="","",SUM(C54:N54))</f>
        <v>0</v>
      </c>
    </row>
    <row r="55" spans="1:15" ht="20.100000000000001" customHeight="1" x14ac:dyDescent="0.25">
      <c r="A55" s="10">
        <v>3</v>
      </c>
      <c r="B55" s="107" t="str">
        <f ca="1">IFERROR(INDEX(CadEqu!$F$7:$J$506,MATCH(LARGE(CadEqu!$I$7:$I$506,Res!A55),CadEqu!$I$7:$I$506,0),1),"")</f>
        <v>Administrativo - Central de alarme 1</v>
      </c>
      <c r="C55" s="112">
        <f ca="1">IF($B55="","",IFERROR(COUNTIFS(tbLancamentos[Equipamento],$B55,tbLancamentos[Momento da falha],"&gt;="&amp;C$9,tbLancamentos[Momento da falha],"&lt;"&amp;D$9),0))</f>
        <v>0</v>
      </c>
      <c r="D55" s="112">
        <f ca="1">IF($B55="","",IFERROR(COUNTIFS(tbLancamentos[Equipamento],$B55,tbLancamentos[Momento da falha],"&gt;="&amp;D$9,tbLancamentos[Momento da falha],"&lt;"&amp;E$9),0))</f>
        <v>0</v>
      </c>
      <c r="E55" s="112">
        <f ca="1">IF($B55="","",IFERROR(COUNTIFS(tbLancamentos[Equipamento],$B55,tbLancamentos[Momento da falha],"&gt;="&amp;E$9,tbLancamentos[Momento da falha],"&lt;"&amp;F$9),0))</f>
        <v>0</v>
      </c>
      <c r="F55" s="112">
        <f ca="1">IF($B55="","",IFERROR(COUNTIFS(tbLancamentos[Equipamento],$B55,tbLancamentos[Momento da falha],"&gt;="&amp;F$9,tbLancamentos[Momento da falha],"&lt;"&amp;G$9),0))</f>
        <v>0</v>
      </c>
      <c r="G55" s="112">
        <f ca="1">IF($B55="","",IFERROR(COUNTIFS(tbLancamentos[Equipamento],$B55,tbLancamentos[Momento da falha],"&gt;="&amp;G$9,tbLancamentos[Momento da falha],"&lt;"&amp;H$9),0))</f>
        <v>0</v>
      </c>
      <c r="H55" s="112">
        <f ca="1">IF($B55="","",IFERROR(COUNTIFS(tbLancamentos[Equipamento],$B55,tbLancamentos[Momento da falha],"&gt;="&amp;H$9,tbLancamentos[Momento da falha],"&lt;"&amp;I$9),0))</f>
        <v>0</v>
      </c>
      <c r="I55" s="112">
        <f ca="1">IF($B55="","",IFERROR(COUNTIFS(tbLancamentos[Equipamento],$B55,tbLancamentos[Momento da falha],"&gt;="&amp;I$9,tbLancamentos[Momento da falha],"&lt;"&amp;J$9),0))</f>
        <v>0</v>
      </c>
      <c r="J55" s="112">
        <f ca="1">IF($B55="","",IFERROR(COUNTIFS(tbLancamentos[Equipamento],$B55,tbLancamentos[Momento da falha],"&gt;="&amp;J$9,tbLancamentos[Momento da falha],"&lt;"&amp;K$9),0))</f>
        <v>0</v>
      </c>
      <c r="K55" s="112">
        <f ca="1">IF($B55="","",IFERROR(COUNTIFS(tbLancamentos[Equipamento],$B55,tbLancamentos[Momento da falha],"&gt;="&amp;K$9,tbLancamentos[Momento da falha],"&lt;"&amp;L$9),0))</f>
        <v>0</v>
      </c>
      <c r="L55" s="112">
        <f ca="1">IF($B55="","",IFERROR(COUNTIFS(tbLancamentos[Equipamento],$B55,tbLancamentos[Momento da falha],"&gt;="&amp;L$9,tbLancamentos[Momento da falha],"&lt;"&amp;M$9),0))</f>
        <v>0</v>
      </c>
      <c r="M55" s="112">
        <f ca="1">IF($B55="","",IFERROR(COUNTIFS(tbLancamentos[Equipamento],$B55,tbLancamentos[Momento da falha],"&gt;="&amp;M$9,tbLancamentos[Momento da falha],"&lt;"&amp;N$9),0))</f>
        <v>0</v>
      </c>
      <c r="N55" s="112">
        <f ca="1">IF($B55="","",IFERROR(COUNTIFS(tbLancamentos[Equipamento],$B55,tbLancamentos[Momento da falha],"&gt;="&amp;N$9,tbLancamentos[Momento da falha],"&lt;"&amp;O$9),0))</f>
        <v>0</v>
      </c>
      <c r="O55" s="113">
        <f t="shared" ca="1" si="26"/>
        <v>0</v>
      </c>
    </row>
    <row r="56" spans="1:15" ht="20.100000000000001" customHeight="1" x14ac:dyDescent="0.25">
      <c r="A56" s="10">
        <v>4</v>
      </c>
      <c r="B56" s="107" t="str">
        <f ca="1">IFERROR(INDEX(CadEqu!$F$7:$J$506,MATCH(LARGE(CadEqu!$I$7:$I$506,Res!A56),CadEqu!$I$7:$I$506,0),1),"")</f>
        <v>Administrativo - Servidor 1</v>
      </c>
      <c r="C56" s="112">
        <f ca="1">IF($B56="","",IFERROR(COUNTIFS(tbLancamentos[Equipamento],$B56,tbLancamentos[Momento da falha],"&gt;="&amp;C$9,tbLancamentos[Momento da falha],"&lt;"&amp;D$9),0))</f>
        <v>0</v>
      </c>
      <c r="D56" s="112">
        <f ca="1">IF($B56="","",IFERROR(COUNTIFS(tbLancamentos[Equipamento],$B56,tbLancamentos[Momento da falha],"&gt;="&amp;D$9,tbLancamentos[Momento da falha],"&lt;"&amp;E$9),0))</f>
        <v>0</v>
      </c>
      <c r="E56" s="112">
        <f ca="1">IF($B56="","",IFERROR(COUNTIFS(tbLancamentos[Equipamento],$B56,tbLancamentos[Momento da falha],"&gt;="&amp;E$9,tbLancamentos[Momento da falha],"&lt;"&amp;F$9),0))</f>
        <v>0</v>
      </c>
      <c r="F56" s="112">
        <f ca="1">IF($B56="","",IFERROR(COUNTIFS(tbLancamentos[Equipamento],$B56,tbLancamentos[Momento da falha],"&gt;="&amp;F$9,tbLancamentos[Momento da falha],"&lt;"&amp;G$9),0))</f>
        <v>0</v>
      </c>
      <c r="G56" s="112">
        <f ca="1">IF($B56="","",IFERROR(COUNTIFS(tbLancamentos[Equipamento],$B56,tbLancamentos[Momento da falha],"&gt;="&amp;G$9,tbLancamentos[Momento da falha],"&lt;"&amp;H$9),0))</f>
        <v>0</v>
      </c>
      <c r="H56" s="112">
        <f ca="1">IF($B56="","",IFERROR(COUNTIFS(tbLancamentos[Equipamento],$B56,tbLancamentos[Momento da falha],"&gt;="&amp;H$9,tbLancamentos[Momento da falha],"&lt;"&amp;I$9),0))</f>
        <v>0</v>
      </c>
      <c r="I56" s="112">
        <f ca="1">IF($B56="","",IFERROR(COUNTIFS(tbLancamentos[Equipamento],$B56,tbLancamentos[Momento da falha],"&gt;="&amp;I$9,tbLancamentos[Momento da falha],"&lt;"&amp;J$9),0))</f>
        <v>0</v>
      </c>
      <c r="J56" s="112">
        <f ca="1">IF($B56="","",IFERROR(COUNTIFS(tbLancamentos[Equipamento],$B56,tbLancamentos[Momento da falha],"&gt;="&amp;J$9,tbLancamentos[Momento da falha],"&lt;"&amp;K$9),0))</f>
        <v>0</v>
      </c>
      <c r="K56" s="112">
        <f ca="1">IF($B56="","",IFERROR(COUNTIFS(tbLancamentos[Equipamento],$B56,tbLancamentos[Momento da falha],"&gt;="&amp;K$9,tbLancamentos[Momento da falha],"&lt;"&amp;L$9),0))</f>
        <v>0</v>
      </c>
      <c r="L56" s="112">
        <f ca="1">IF($B56="","",IFERROR(COUNTIFS(tbLancamentos[Equipamento],$B56,tbLancamentos[Momento da falha],"&gt;="&amp;L$9,tbLancamentos[Momento da falha],"&lt;"&amp;M$9),0))</f>
        <v>0</v>
      </c>
      <c r="M56" s="112">
        <f ca="1">IF($B56="","",IFERROR(COUNTIFS(tbLancamentos[Equipamento],$B56,tbLancamentos[Momento da falha],"&gt;="&amp;M$9,tbLancamentos[Momento da falha],"&lt;"&amp;N$9),0))</f>
        <v>0</v>
      </c>
      <c r="N56" s="112">
        <f ca="1">IF($B56="","",IFERROR(COUNTIFS(tbLancamentos[Equipamento],$B56,tbLancamentos[Momento da falha],"&gt;="&amp;N$9,tbLancamentos[Momento da falha],"&lt;"&amp;O$9),0))</f>
        <v>0</v>
      </c>
      <c r="O56" s="113">
        <f t="shared" ca="1" si="26"/>
        <v>0</v>
      </c>
    </row>
    <row r="57" spans="1:15" ht="20.100000000000001" customHeight="1" x14ac:dyDescent="0.25">
      <c r="A57" s="10">
        <v>5</v>
      </c>
      <c r="B57" s="107" t="str">
        <f ca="1">IFERROR(INDEX(CadEqu!$F$7:$J$506,MATCH(LARGE(CadEqu!$I$7:$I$506,Res!A57),CadEqu!$I$7:$I$506,0),1),"")</f>
        <v>Administrativo - DVR 1</v>
      </c>
      <c r="C57" s="112">
        <f ca="1">IF($B57="","",IFERROR(COUNTIFS(tbLancamentos[Equipamento],$B57,tbLancamentos[Momento da falha],"&gt;="&amp;C$9,tbLancamentos[Momento da falha],"&lt;"&amp;D$9),0))</f>
        <v>0</v>
      </c>
      <c r="D57" s="112">
        <f ca="1">IF($B57="","",IFERROR(COUNTIFS(tbLancamentos[Equipamento],$B57,tbLancamentos[Momento da falha],"&gt;="&amp;D$9,tbLancamentos[Momento da falha],"&lt;"&amp;E$9),0))</f>
        <v>0</v>
      </c>
      <c r="E57" s="112">
        <f ca="1">IF($B57="","",IFERROR(COUNTIFS(tbLancamentos[Equipamento],$B57,tbLancamentos[Momento da falha],"&gt;="&amp;E$9,tbLancamentos[Momento da falha],"&lt;"&amp;F$9),0))</f>
        <v>0</v>
      </c>
      <c r="F57" s="112">
        <f ca="1">IF($B57="","",IFERROR(COUNTIFS(tbLancamentos[Equipamento],$B57,tbLancamentos[Momento da falha],"&gt;="&amp;F$9,tbLancamentos[Momento da falha],"&lt;"&amp;G$9),0))</f>
        <v>0</v>
      </c>
      <c r="G57" s="112">
        <f ca="1">IF($B57="","",IFERROR(COUNTIFS(tbLancamentos[Equipamento],$B57,tbLancamentos[Momento da falha],"&gt;="&amp;G$9,tbLancamentos[Momento da falha],"&lt;"&amp;H$9),0))</f>
        <v>0</v>
      </c>
      <c r="H57" s="112">
        <f ca="1">IF($B57="","",IFERROR(COUNTIFS(tbLancamentos[Equipamento],$B57,tbLancamentos[Momento da falha],"&gt;="&amp;H$9,tbLancamentos[Momento da falha],"&lt;"&amp;I$9),0))</f>
        <v>0</v>
      </c>
      <c r="I57" s="112">
        <f ca="1">IF($B57="","",IFERROR(COUNTIFS(tbLancamentos[Equipamento],$B57,tbLancamentos[Momento da falha],"&gt;="&amp;I$9,tbLancamentos[Momento da falha],"&lt;"&amp;J$9),0))</f>
        <v>0</v>
      </c>
      <c r="J57" s="112">
        <f ca="1">IF($B57="","",IFERROR(COUNTIFS(tbLancamentos[Equipamento],$B57,tbLancamentos[Momento da falha],"&gt;="&amp;J$9,tbLancamentos[Momento da falha],"&lt;"&amp;K$9),0))</f>
        <v>0</v>
      </c>
      <c r="K57" s="112">
        <f ca="1">IF($B57="","",IFERROR(COUNTIFS(tbLancamentos[Equipamento],$B57,tbLancamentos[Momento da falha],"&gt;="&amp;K$9,tbLancamentos[Momento da falha],"&lt;"&amp;L$9),0))</f>
        <v>0</v>
      </c>
      <c r="L57" s="112">
        <f ca="1">IF($B57="","",IFERROR(COUNTIFS(tbLancamentos[Equipamento],$B57,tbLancamentos[Momento da falha],"&gt;="&amp;L$9,tbLancamentos[Momento da falha],"&lt;"&amp;M$9),0))</f>
        <v>0</v>
      </c>
      <c r="M57" s="112">
        <f ca="1">IF($B57="","",IFERROR(COUNTIFS(tbLancamentos[Equipamento],$B57,tbLancamentos[Momento da falha],"&gt;="&amp;M$9,tbLancamentos[Momento da falha],"&lt;"&amp;N$9),0))</f>
        <v>0</v>
      </c>
      <c r="N57" s="112">
        <f ca="1">IF($B57="","",IFERROR(COUNTIFS(tbLancamentos[Equipamento],$B57,tbLancamentos[Momento da falha],"&gt;="&amp;N$9,tbLancamentos[Momento da falha],"&lt;"&amp;O$9),0))</f>
        <v>0</v>
      </c>
      <c r="O57" s="113">
        <f t="shared" ca="1" si="26"/>
        <v>0</v>
      </c>
    </row>
    <row r="58" spans="1:15" ht="20.100000000000001" customHeight="1" x14ac:dyDescent="0.25">
      <c r="A58" s="10">
        <v>6</v>
      </c>
      <c r="B58" s="107" t="str">
        <f ca="1">IFERROR(INDEX(CadEqu!$F$7:$J$506,MATCH(LARGE(CadEqu!$I$7:$I$506,Res!A58),CadEqu!$I$7:$I$506,0),1),"")</f>
        <v/>
      </c>
      <c r="C58" s="112" t="str">
        <f ca="1">IF($B58="","",IFERROR(COUNTIFS(tbLancamentos[Equipamento],$B58,tbLancamentos[Momento da falha],"&gt;="&amp;C$9,tbLancamentos[Momento da falha],"&lt;"&amp;D$9),0))</f>
        <v/>
      </c>
      <c r="D58" s="112" t="str">
        <f ca="1">IF($B58="","",IFERROR(COUNTIFS(tbLancamentos[Equipamento],$B58,tbLancamentos[Momento da falha],"&gt;="&amp;D$9,tbLancamentos[Momento da falha],"&lt;"&amp;E$9),0))</f>
        <v/>
      </c>
      <c r="E58" s="112" t="str">
        <f ca="1">IF($B58="","",IFERROR(COUNTIFS(tbLancamentos[Equipamento],$B58,tbLancamentos[Momento da falha],"&gt;="&amp;E$9,tbLancamentos[Momento da falha],"&lt;"&amp;F$9),0))</f>
        <v/>
      </c>
      <c r="F58" s="112" t="str">
        <f ca="1">IF($B58="","",IFERROR(COUNTIFS(tbLancamentos[Equipamento],$B58,tbLancamentos[Momento da falha],"&gt;="&amp;F$9,tbLancamentos[Momento da falha],"&lt;"&amp;G$9),0))</f>
        <v/>
      </c>
      <c r="G58" s="112" t="str">
        <f ca="1">IF($B58="","",IFERROR(COUNTIFS(tbLancamentos[Equipamento],$B58,tbLancamentos[Momento da falha],"&gt;="&amp;G$9,tbLancamentos[Momento da falha],"&lt;"&amp;H$9),0))</f>
        <v/>
      </c>
      <c r="H58" s="112" t="str">
        <f ca="1">IF($B58="","",IFERROR(COUNTIFS(tbLancamentos[Equipamento],$B58,tbLancamentos[Momento da falha],"&gt;="&amp;H$9,tbLancamentos[Momento da falha],"&lt;"&amp;I$9),0))</f>
        <v/>
      </c>
      <c r="I58" s="112" t="str">
        <f ca="1">IF($B58="","",IFERROR(COUNTIFS(tbLancamentos[Equipamento],$B58,tbLancamentos[Momento da falha],"&gt;="&amp;I$9,tbLancamentos[Momento da falha],"&lt;"&amp;J$9),0))</f>
        <v/>
      </c>
      <c r="J58" s="112" t="str">
        <f ca="1">IF($B58="","",IFERROR(COUNTIFS(tbLancamentos[Equipamento],$B58,tbLancamentos[Momento da falha],"&gt;="&amp;J$9,tbLancamentos[Momento da falha],"&lt;"&amp;K$9),0))</f>
        <v/>
      </c>
      <c r="K58" s="112" t="str">
        <f ca="1">IF($B58="","",IFERROR(COUNTIFS(tbLancamentos[Equipamento],$B58,tbLancamentos[Momento da falha],"&gt;="&amp;K$9,tbLancamentos[Momento da falha],"&lt;"&amp;L$9),0))</f>
        <v/>
      </c>
      <c r="L58" s="112" t="str">
        <f ca="1">IF($B58="","",IFERROR(COUNTIFS(tbLancamentos[Equipamento],$B58,tbLancamentos[Momento da falha],"&gt;="&amp;L$9,tbLancamentos[Momento da falha],"&lt;"&amp;M$9),0))</f>
        <v/>
      </c>
      <c r="M58" s="112" t="str">
        <f ca="1">IF($B58="","",IFERROR(COUNTIFS(tbLancamentos[Equipamento],$B58,tbLancamentos[Momento da falha],"&gt;="&amp;M$9,tbLancamentos[Momento da falha],"&lt;"&amp;N$9),0))</f>
        <v/>
      </c>
      <c r="N58" s="112" t="str">
        <f ca="1">IF($B58="","",IFERROR(COUNTIFS(tbLancamentos[Equipamento],$B58,tbLancamentos[Momento da falha],"&gt;="&amp;N$9,tbLancamentos[Momento da falha],"&lt;"&amp;O$9),0))</f>
        <v/>
      </c>
      <c r="O58" s="113" t="str">
        <f t="shared" ca="1" si="26"/>
        <v/>
      </c>
    </row>
    <row r="59" spans="1:15" ht="20.100000000000001" customHeight="1" x14ac:dyDescent="0.25">
      <c r="A59" s="10">
        <v>7</v>
      </c>
      <c r="B59" s="107" t="str">
        <f ca="1">IFERROR(INDEX(CadEqu!$F$7:$J$506,MATCH(LARGE(CadEqu!$I$7:$I$506,Res!A59),CadEqu!$I$7:$I$506,0),1),"")</f>
        <v/>
      </c>
      <c r="C59" s="112" t="str">
        <f ca="1">IF($B59="","",IFERROR(COUNTIFS(tbLancamentos[Equipamento],$B59,tbLancamentos[Momento da falha],"&gt;="&amp;C$9,tbLancamentos[Momento da falha],"&lt;"&amp;D$9),0))</f>
        <v/>
      </c>
      <c r="D59" s="112" t="str">
        <f ca="1">IF($B59="","",IFERROR(COUNTIFS(tbLancamentos[Equipamento],$B59,tbLancamentos[Momento da falha],"&gt;="&amp;D$9,tbLancamentos[Momento da falha],"&lt;"&amp;E$9),0))</f>
        <v/>
      </c>
      <c r="E59" s="112" t="str">
        <f ca="1">IF($B59="","",IFERROR(COUNTIFS(tbLancamentos[Equipamento],$B59,tbLancamentos[Momento da falha],"&gt;="&amp;E$9,tbLancamentos[Momento da falha],"&lt;"&amp;F$9),0))</f>
        <v/>
      </c>
      <c r="F59" s="112" t="str">
        <f ca="1">IF($B59="","",IFERROR(COUNTIFS(tbLancamentos[Equipamento],$B59,tbLancamentos[Momento da falha],"&gt;="&amp;F$9,tbLancamentos[Momento da falha],"&lt;"&amp;G$9),0))</f>
        <v/>
      </c>
      <c r="G59" s="112" t="str">
        <f ca="1">IF($B59="","",IFERROR(COUNTIFS(tbLancamentos[Equipamento],$B59,tbLancamentos[Momento da falha],"&gt;="&amp;G$9,tbLancamentos[Momento da falha],"&lt;"&amp;H$9),0))</f>
        <v/>
      </c>
      <c r="H59" s="112" t="str">
        <f ca="1">IF($B59="","",IFERROR(COUNTIFS(tbLancamentos[Equipamento],$B59,tbLancamentos[Momento da falha],"&gt;="&amp;H$9,tbLancamentos[Momento da falha],"&lt;"&amp;I$9),0))</f>
        <v/>
      </c>
      <c r="I59" s="112" t="str">
        <f ca="1">IF($B59="","",IFERROR(COUNTIFS(tbLancamentos[Equipamento],$B59,tbLancamentos[Momento da falha],"&gt;="&amp;I$9,tbLancamentos[Momento da falha],"&lt;"&amp;J$9),0))</f>
        <v/>
      </c>
      <c r="J59" s="112" t="str">
        <f ca="1">IF($B59="","",IFERROR(COUNTIFS(tbLancamentos[Equipamento],$B59,tbLancamentos[Momento da falha],"&gt;="&amp;J$9,tbLancamentos[Momento da falha],"&lt;"&amp;K$9),0))</f>
        <v/>
      </c>
      <c r="K59" s="112" t="str">
        <f ca="1">IF($B59="","",IFERROR(COUNTIFS(tbLancamentos[Equipamento],$B59,tbLancamentos[Momento da falha],"&gt;="&amp;K$9,tbLancamentos[Momento da falha],"&lt;"&amp;L$9),0))</f>
        <v/>
      </c>
      <c r="L59" s="112" t="str">
        <f ca="1">IF($B59="","",IFERROR(COUNTIFS(tbLancamentos[Equipamento],$B59,tbLancamentos[Momento da falha],"&gt;="&amp;L$9,tbLancamentos[Momento da falha],"&lt;"&amp;M$9),0))</f>
        <v/>
      </c>
      <c r="M59" s="112" t="str">
        <f ca="1">IF($B59="","",IFERROR(COUNTIFS(tbLancamentos[Equipamento],$B59,tbLancamentos[Momento da falha],"&gt;="&amp;M$9,tbLancamentos[Momento da falha],"&lt;"&amp;N$9),0))</f>
        <v/>
      </c>
      <c r="N59" s="112" t="str">
        <f ca="1">IF($B59="","",IFERROR(COUNTIFS(tbLancamentos[Equipamento],$B59,tbLancamentos[Momento da falha],"&gt;="&amp;N$9,tbLancamentos[Momento da falha],"&lt;"&amp;O$9),0))</f>
        <v/>
      </c>
      <c r="O59" s="113" t="str">
        <f t="shared" ca="1" si="26"/>
        <v/>
      </c>
    </row>
    <row r="60" spans="1:15" ht="20.100000000000001" customHeight="1" x14ac:dyDescent="0.25">
      <c r="A60" s="10">
        <v>8</v>
      </c>
      <c r="B60" s="107" t="str">
        <f ca="1">IFERROR(INDEX(CadEqu!$F$7:$J$506,MATCH(LARGE(CadEqu!$I$7:$I$506,Res!A60),CadEqu!$I$7:$I$506,0),1),"")</f>
        <v/>
      </c>
      <c r="C60" s="112" t="str">
        <f ca="1">IF($B60="","",IFERROR(COUNTIFS(tbLancamentos[Equipamento],$B60,tbLancamentos[Momento da falha],"&gt;="&amp;C$9,tbLancamentos[Momento da falha],"&lt;"&amp;D$9),0))</f>
        <v/>
      </c>
      <c r="D60" s="112" t="str">
        <f ca="1">IF($B60="","",IFERROR(COUNTIFS(tbLancamentos[Equipamento],$B60,tbLancamentos[Momento da falha],"&gt;="&amp;D$9,tbLancamentos[Momento da falha],"&lt;"&amp;E$9),0))</f>
        <v/>
      </c>
      <c r="E60" s="112" t="str">
        <f ca="1">IF($B60="","",IFERROR(COUNTIFS(tbLancamentos[Equipamento],$B60,tbLancamentos[Momento da falha],"&gt;="&amp;E$9,tbLancamentos[Momento da falha],"&lt;"&amp;F$9),0))</f>
        <v/>
      </c>
      <c r="F60" s="112" t="str">
        <f ca="1">IF($B60="","",IFERROR(COUNTIFS(tbLancamentos[Equipamento],$B60,tbLancamentos[Momento da falha],"&gt;="&amp;F$9,tbLancamentos[Momento da falha],"&lt;"&amp;G$9),0))</f>
        <v/>
      </c>
      <c r="G60" s="112" t="str">
        <f ca="1">IF($B60="","",IFERROR(COUNTIFS(tbLancamentos[Equipamento],$B60,tbLancamentos[Momento da falha],"&gt;="&amp;G$9,tbLancamentos[Momento da falha],"&lt;"&amp;H$9),0))</f>
        <v/>
      </c>
      <c r="H60" s="112" t="str">
        <f ca="1">IF($B60="","",IFERROR(COUNTIFS(tbLancamentos[Equipamento],$B60,tbLancamentos[Momento da falha],"&gt;="&amp;H$9,tbLancamentos[Momento da falha],"&lt;"&amp;I$9),0))</f>
        <v/>
      </c>
      <c r="I60" s="112" t="str">
        <f ca="1">IF($B60="","",IFERROR(COUNTIFS(tbLancamentos[Equipamento],$B60,tbLancamentos[Momento da falha],"&gt;="&amp;I$9,tbLancamentos[Momento da falha],"&lt;"&amp;J$9),0))</f>
        <v/>
      </c>
      <c r="J60" s="112" t="str">
        <f ca="1">IF($B60="","",IFERROR(COUNTIFS(tbLancamentos[Equipamento],$B60,tbLancamentos[Momento da falha],"&gt;="&amp;J$9,tbLancamentos[Momento da falha],"&lt;"&amp;K$9),0))</f>
        <v/>
      </c>
      <c r="K60" s="112" t="str">
        <f ca="1">IF($B60="","",IFERROR(COUNTIFS(tbLancamentos[Equipamento],$B60,tbLancamentos[Momento da falha],"&gt;="&amp;K$9,tbLancamentos[Momento da falha],"&lt;"&amp;L$9),0))</f>
        <v/>
      </c>
      <c r="L60" s="112" t="str">
        <f ca="1">IF($B60="","",IFERROR(COUNTIFS(tbLancamentos[Equipamento],$B60,tbLancamentos[Momento da falha],"&gt;="&amp;L$9,tbLancamentos[Momento da falha],"&lt;"&amp;M$9),0))</f>
        <v/>
      </c>
      <c r="M60" s="112" t="str">
        <f ca="1">IF($B60="","",IFERROR(COUNTIFS(tbLancamentos[Equipamento],$B60,tbLancamentos[Momento da falha],"&gt;="&amp;M$9,tbLancamentos[Momento da falha],"&lt;"&amp;N$9),0))</f>
        <v/>
      </c>
      <c r="N60" s="112" t="str">
        <f ca="1">IF($B60="","",IFERROR(COUNTIFS(tbLancamentos[Equipamento],$B60,tbLancamentos[Momento da falha],"&gt;="&amp;N$9,tbLancamentos[Momento da falha],"&lt;"&amp;O$9),0))</f>
        <v/>
      </c>
      <c r="O60" s="113" t="str">
        <f t="shared" ca="1" si="26"/>
        <v/>
      </c>
    </row>
    <row r="61" spans="1:15" ht="20.100000000000001" customHeight="1" x14ac:dyDescent="0.25">
      <c r="A61" s="10">
        <v>9</v>
      </c>
      <c r="B61" s="107" t="str">
        <f ca="1">IFERROR(INDEX(CadEqu!$F$7:$J$506,MATCH(LARGE(CadEqu!$I$7:$I$506,Res!A61),CadEqu!$I$7:$I$506,0),1),"")</f>
        <v/>
      </c>
      <c r="C61" s="112" t="str">
        <f ca="1">IF($B61="","",IFERROR(COUNTIFS(tbLancamentos[Equipamento],$B61,tbLancamentos[Momento da falha],"&gt;="&amp;C$9,tbLancamentos[Momento da falha],"&lt;"&amp;D$9),0))</f>
        <v/>
      </c>
      <c r="D61" s="112" t="str">
        <f ca="1">IF($B61="","",IFERROR(COUNTIFS(tbLancamentos[Equipamento],$B61,tbLancamentos[Momento da falha],"&gt;="&amp;D$9,tbLancamentos[Momento da falha],"&lt;"&amp;E$9),0))</f>
        <v/>
      </c>
      <c r="E61" s="112" t="str">
        <f ca="1">IF($B61="","",IFERROR(COUNTIFS(tbLancamentos[Equipamento],$B61,tbLancamentos[Momento da falha],"&gt;="&amp;E$9,tbLancamentos[Momento da falha],"&lt;"&amp;F$9),0))</f>
        <v/>
      </c>
      <c r="F61" s="112" t="str">
        <f ca="1">IF($B61="","",IFERROR(COUNTIFS(tbLancamentos[Equipamento],$B61,tbLancamentos[Momento da falha],"&gt;="&amp;F$9,tbLancamentos[Momento da falha],"&lt;"&amp;G$9),0))</f>
        <v/>
      </c>
      <c r="G61" s="112" t="str">
        <f ca="1">IF($B61="","",IFERROR(COUNTIFS(tbLancamentos[Equipamento],$B61,tbLancamentos[Momento da falha],"&gt;="&amp;G$9,tbLancamentos[Momento da falha],"&lt;"&amp;H$9),0))</f>
        <v/>
      </c>
      <c r="H61" s="112" t="str">
        <f ca="1">IF($B61="","",IFERROR(COUNTIFS(tbLancamentos[Equipamento],$B61,tbLancamentos[Momento da falha],"&gt;="&amp;H$9,tbLancamentos[Momento da falha],"&lt;"&amp;I$9),0))</f>
        <v/>
      </c>
      <c r="I61" s="112" t="str">
        <f ca="1">IF($B61="","",IFERROR(COUNTIFS(tbLancamentos[Equipamento],$B61,tbLancamentos[Momento da falha],"&gt;="&amp;I$9,tbLancamentos[Momento da falha],"&lt;"&amp;J$9),0))</f>
        <v/>
      </c>
      <c r="J61" s="112" t="str">
        <f ca="1">IF($B61="","",IFERROR(COUNTIFS(tbLancamentos[Equipamento],$B61,tbLancamentos[Momento da falha],"&gt;="&amp;J$9,tbLancamentos[Momento da falha],"&lt;"&amp;K$9),0))</f>
        <v/>
      </c>
      <c r="K61" s="112" t="str">
        <f ca="1">IF($B61="","",IFERROR(COUNTIFS(tbLancamentos[Equipamento],$B61,tbLancamentos[Momento da falha],"&gt;="&amp;K$9,tbLancamentos[Momento da falha],"&lt;"&amp;L$9),0))</f>
        <v/>
      </c>
      <c r="L61" s="112" t="str">
        <f ca="1">IF($B61="","",IFERROR(COUNTIFS(tbLancamentos[Equipamento],$B61,tbLancamentos[Momento da falha],"&gt;="&amp;L$9,tbLancamentos[Momento da falha],"&lt;"&amp;M$9),0))</f>
        <v/>
      </c>
      <c r="M61" s="112" t="str">
        <f ca="1">IF($B61="","",IFERROR(COUNTIFS(tbLancamentos[Equipamento],$B61,tbLancamentos[Momento da falha],"&gt;="&amp;M$9,tbLancamentos[Momento da falha],"&lt;"&amp;N$9),0))</f>
        <v/>
      </c>
      <c r="N61" s="112" t="str">
        <f ca="1">IF($B61="","",IFERROR(COUNTIFS(tbLancamentos[Equipamento],$B61,tbLancamentos[Momento da falha],"&gt;="&amp;N$9,tbLancamentos[Momento da falha],"&lt;"&amp;O$9),0))</f>
        <v/>
      </c>
      <c r="O61" s="113" t="str">
        <f t="shared" ca="1" si="26"/>
        <v/>
      </c>
    </row>
    <row r="62" spans="1:15" ht="20.100000000000001" customHeight="1" x14ac:dyDescent="0.25">
      <c r="A62" s="10">
        <v>10</v>
      </c>
      <c r="B62" s="107" t="str">
        <f ca="1">IFERROR(INDEX(CadEqu!$F$7:$J$506,MATCH(LARGE(CadEqu!$I$7:$I$506,Res!A62),CadEqu!$I$7:$I$506,0),1),"")</f>
        <v/>
      </c>
      <c r="C62" s="112" t="str">
        <f ca="1">IF($B62="","",IFERROR(COUNTIFS(tbLancamentos[Equipamento],$B62,tbLancamentos[Momento da falha],"&gt;="&amp;C$9,tbLancamentos[Momento da falha],"&lt;"&amp;D$9),0))</f>
        <v/>
      </c>
      <c r="D62" s="112" t="str">
        <f ca="1">IF($B62="","",IFERROR(COUNTIFS(tbLancamentos[Equipamento],$B62,tbLancamentos[Momento da falha],"&gt;="&amp;D$9,tbLancamentos[Momento da falha],"&lt;"&amp;E$9),0))</f>
        <v/>
      </c>
      <c r="E62" s="112" t="str">
        <f ca="1">IF($B62="","",IFERROR(COUNTIFS(tbLancamentos[Equipamento],$B62,tbLancamentos[Momento da falha],"&gt;="&amp;E$9,tbLancamentos[Momento da falha],"&lt;"&amp;F$9),0))</f>
        <v/>
      </c>
      <c r="F62" s="112" t="str">
        <f ca="1">IF($B62="","",IFERROR(COUNTIFS(tbLancamentos[Equipamento],$B62,tbLancamentos[Momento da falha],"&gt;="&amp;F$9,tbLancamentos[Momento da falha],"&lt;"&amp;G$9),0))</f>
        <v/>
      </c>
      <c r="G62" s="112" t="str">
        <f ca="1">IF($B62="","",IFERROR(COUNTIFS(tbLancamentos[Equipamento],$B62,tbLancamentos[Momento da falha],"&gt;="&amp;G$9,tbLancamentos[Momento da falha],"&lt;"&amp;H$9),0))</f>
        <v/>
      </c>
      <c r="H62" s="112" t="str">
        <f ca="1">IF($B62="","",IFERROR(COUNTIFS(tbLancamentos[Equipamento],$B62,tbLancamentos[Momento da falha],"&gt;="&amp;H$9,tbLancamentos[Momento da falha],"&lt;"&amp;I$9),0))</f>
        <v/>
      </c>
      <c r="I62" s="112" t="str">
        <f ca="1">IF($B62="","",IFERROR(COUNTIFS(tbLancamentos[Equipamento],$B62,tbLancamentos[Momento da falha],"&gt;="&amp;I$9,tbLancamentos[Momento da falha],"&lt;"&amp;J$9),0))</f>
        <v/>
      </c>
      <c r="J62" s="112" t="str">
        <f ca="1">IF($B62="","",IFERROR(COUNTIFS(tbLancamentos[Equipamento],$B62,tbLancamentos[Momento da falha],"&gt;="&amp;J$9,tbLancamentos[Momento da falha],"&lt;"&amp;K$9),0))</f>
        <v/>
      </c>
      <c r="K62" s="112" t="str">
        <f ca="1">IF($B62="","",IFERROR(COUNTIFS(tbLancamentos[Equipamento],$B62,tbLancamentos[Momento da falha],"&gt;="&amp;K$9,tbLancamentos[Momento da falha],"&lt;"&amp;L$9),0))</f>
        <v/>
      </c>
      <c r="L62" s="112" t="str">
        <f ca="1">IF($B62="","",IFERROR(COUNTIFS(tbLancamentos[Equipamento],$B62,tbLancamentos[Momento da falha],"&gt;="&amp;L$9,tbLancamentos[Momento da falha],"&lt;"&amp;M$9),0))</f>
        <v/>
      </c>
      <c r="M62" s="112" t="str">
        <f ca="1">IF($B62="","",IFERROR(COUNTIFS(tbLancamentos[Equipamento],$B62,tbLancamentos[Momento da falha],"&gt;="&amp;M$9,tbLancamentos[Momento da falha],"&lt;"&amp;N$9),0))</f>
        <v/>
      </c>
      <c r="N62" s="112" t="str">
        <f ca="1">IF($B62="","",IFERROR(COUNTIFS(tbLancamentos[Equipamento],$B62,tbLancamentos[Momento da falha],"&gt;="&amp;N$9,tbLancamentos[Momento da falha],"&lt;"&amp;O$9),0))</f>
        <v/>
      </c>
      <c r="O62" s="113" t="str">
        <f t="shared" ca="1" si="26"/>
        <v/>
      </c>
    </row>
    <row r="63" spans="1:15" ht="20.100000000000001" customHeight="1" x14ac:dyDescent="0.25">
      <c r="B63" s="110" t="s">
        <v>51</v>
      </c>
      <c r="C63" s="113">
        <f ca="1">SUM(C53:C62)</f>
        <v>1</v>
      </c>
      <c r="D63" s="113">
        <f t="shared" ref="D63" ca="1" si="27">SUM(D53:D62)</f>
        <v>0</v>
      </c>
      <c r="E63" s="113">
        <f t="shared" ref="E63" ca="1" si="28">SUM(E53:E62)</f>
        <v>0</v>
      </c>
      <c r="F63" s="113">
        <f t="shared" ref="F63" ca="1" si="29">SUM(F53:F62)</f>
        <v>0</v>
      </c>
      <c r="G63" s="113">
        <f t="shared" ref="G63" ca="1" si="30">SUM(G53:G62)</f>
        <v>0</v>
      </c>
      <c r="H63" s="113">
        <f t="shared" ref="H63" ca="1" si="31">SUM(H53:H62)</f>
        <v>0</v>
      </c>
      <c r="I63" s="113">
        <f t="shared" ref="I63" ca="1" si="32">SUM(I53:I62)</f>
        <v>0</v>
      </c>
      <c r="J63" s="113">
        <f t="shared" ref="J63" ca="1" si="33">SUM(J53:J62)</f>
        <v>0</v>
      </c>
      <c r="K63" s="113">
        <f t="shared" ref="K63" ca="1" si="34">SUM(K53:K62)</f>
        <v>0</v>
      </c>
      <c r="L63" s="113">
        <f t="shared" ref="L63" ca="1" si="35">SUM(L53:L62)</f>
        <v>0</v>
      </c>
      <c r="M63" s="113">
        <f t="shared" ref="M63" ca="1" si="36">SUM(M53:M62)</f>
        <v>0</v>
      </c>
      <c r="N63" s="113">
        <f t="shared" ref="N63" ca="1" si="37">SUM(N53:N62)</f>
        <v>0</v>
      </c>
      <c r="O63" s="111"/>
    </row>
    <row r="65" spans="1:15" ht="18.75" x14ac:dyDescent="0.3">
      <c r="B65" s="103" t="s">
        <v>110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</row>
    <row r="66" spans="1:15" ht="20.100000000000001" customHeight="1" x14ac:dyDescent="0.25">
      <c r="B66" s="69" t="s">
        <v>92</v>
      </c>
      <c r="C66" s="106" t="s">
        <v>39</v>
      </c>
      <c r="D66" s="106" t="s">
        <v>40</v>
      </c>
      <c r="E66" s="106" t="s">
        <v>41</v>
      </c>
      <c r="F66" s="106" t="s">
        <v>42</v>
      </c>
      <c r="G66" s="106" t="s">
        <v>43</v>
      </c>
      <c r="H66" s="106" t="s">
        <v>44</v>
      </c>
      <c r="I66" s="106" t="s">
        <v>45</v>
      </c>
      <c r="J66" s="106" t="s">
        <v>46</v>
      </c>
      <c r="K66" s="106" t="s">
        <v>47</v>
      </c>
      <c r="L66" s="106" t="s">
        <v>48</v>
      </c>
      <c r="M66" s="106" t="s">
        <v>49</v>
      </c>
      <c r="N66" s="106" t="s">
        <v>50</v>
      </c>
      <c r="O66" s="106" t="s">
        <v>51</v>
      </c>
    </row>
    <row r="67" spans="1:15" ht="20.100000000000001" customHeight="1" x14ac:dyDescent="0.25">
      <c r="A67" s="10">
        <v>1</v>
      </c>
      <c r="B67" s="107" t="str">
        <f ca="1">IFERROR(INDEX(CadSet!$C$7:$G$26,MATCH(LARGE(CadSet!$G$7:$G$26,Res!$A67),CadSet!$G$7:$G$26,0),1),"")</f>
        <v>Administrativo</v>
      </c>
      <c r="C67" s="108">
        <f ca="1">IF($B67="","",IFERROR(SUMIFS(tbLancamentos[Tempo indisponível],tbLancamentos[Setor],$B67,tbLancamentos[Momento da falha],"&gt;="&amp;C$9,tbLancamentos[Momento da falha],"&lt;"&amp;D$9),0))</f>
        <v>0.26380345476354705</v>
      </c>
      <c r="D67" s="108">
        <f ca="1">IF($B67="","",IFERROR(SUMIFS(tbLancamentos[Tempo indisponível],tbLancamentos[Setor],$B67,tbLancamentos[Momento da falha],"&gt;="&amp;D$9,tbLancamentos[Momento da falha],"&lt;"&amp;E$9),0))</f>
        <v>0</v>
      </c>
      <c r="E67" s="108">
        <f ca="1">IF($B67="","",IFERROR(SUMIFS(tbLancamentos[Tempo indisponível],tbLancamentos[Setor],$B67,tbLancamentos[Momento da falha],"&gt;="&amp;E$9,tbLancamentos[Momento da falha],"&lt;"&amp;F$9),0))</f>
        <v>0</v>
      </c>
      <c r="F67" s="108">
        <f ca="1">IF($B67="","",IFERROR(SUMIFS(tbLancamentos[Tempo indisponível],tbLancamentos[Setor],$B67,tbLancamentos[Momento da falha],"&gt;="&amp;F$9,tbLancamentos[Momento da falha],"&lt;"&amp;G$9),0))</f>
        <v>0</v>
      </c>
      <c r="G67" s="108">
        <f ca="1">IF($B67="","",IFERROR(SUMIFS(tbLancamentos[Tempo indisponível],tbLancamentos[Setor],$B67,tbLancamentos[Momento da falha],"&gt;="&amp;G$9,tbLancamentos[Momento da falha],"&lt;"&amp;H$9),0))</f>
        <v>0</v>
      </c>
      <c r="H67" s="108">
        <f ca="1">IF($B67="","",IFERROR(SUMIFS(tbLancamentos[Tempo indisponível],tbLancamentos[Setor],$B67,tbLancamentos[Momento da falha],"&gt;="&amp;H$9,tbLancamentos[Momento da falha],"&lt;"&amp;I$9),0))</f>
        <v>0</v>
      </c>
      <c r="I67" s="108">
        <f ca="1">IF($B67="","",IFERROR(SUMIFS(tbLancamentos[Tempo indisponível],tbLancamentos[Setor],$B67,tbLancamentos[Momento da falha],"&gt;="&amp;I$9,tbLancamentos[Momento da falha],"&lt;"&amp;J$9),0))</f>
        <v>0</v>
      </c>
      <c r="J67" s="108">
        <f ca="1">IF($B67="","",IFERROR(SUMIFS(tbLancamentos[Tempo indisponível],tbLancamentos[Setor],$B67,tbLancamentos[Momento da falha],"&gt;="&amp;J$9,tbLancamentos[Momento da falha],"&lt;"&amp;K$9),0))</f>
        <v>0</v>
      </c>
      <c r="K67" s="108">
        <f ca="1">IF($B67="","",IFERROR(SUMIFS(tbLancamentos[Tempo indisponível],tbLancamentos[Setor],$B67,tbLancamentos[Momento da falha],"&gt;="&amp;K$9,tbLancamentos[Momento da falha],"&lt;"&amp;L$9),0))</f>
        <v>0</v>
      </c>
      <c r="L67" s="108">
        <f ca="1">IF($B67="","",IFERROR(SUMIFS(tbLancamentos[Tempo indisponível],tbLancamentos[Setor],$B67,tbLancamentos[Momento da falha],"&gt;="&amp;L$9,tbLancamentos[Momento da falha],"&lt;"&amp;M$9),0))</f>
        <v>0</v>
      </c>
      <c r="M67" s="108">
        <f ca="1">IF($B67="","",IFERROR(SUMIFS(tbLancamentos[Tempo indisponível],tbLancamentos[Setor],$B67,tbLancamentos[Momento da falha],"&gt;="&amp;M$9,tbLancamentos[Momento da falha],"&lt;"&amp;N$9),0))</f>
        <v>0</v>
      </c>
      <c r="N67" s="108">
        <f ca="1">IF($B67="","",IFERROR(SUMIFS(tbLancamentos[Tempo indisponível],tbLancamentos[Setor],$B67,tbLancamentos[Momento da falha],"&gt;="&amp;N$9,tbLancamentos[Momento da falha],"&lt;"&amp;O$9),0))</f>
        <v>0</v>
      </c>
      <c r="O67" s="109">
        <f ca="1">IF(B67="","",SUM(C67:N67))</f>
        <v>0.26380345476354705</v>
      </c>
    </row>
    <row r="68" spans="1:15" ht="20.100000000000001" customHeight="1" x14ac:dyDescent="0.25">
      <c r="A68" s="10">
        <v>2</v>
      </c>
      <c r="B68" s="107" t="str">
        <f ca="1">IFERROR(INDEX(CadSet!$C$7:$G$26,MATCH(LARGE(CadSet!$G$7:$G$26,Res!$A68),CadSet!$G$7:$G$26,0),1),"")</f>
        <v>Manutenção</v>
      </c>
      <c r="C68" s="108">
        <f ca="1">IF($B68="","",IFERROR(SUMIFS(tbLancamentos[Tempo indisponível],tbLancamentos[Setor],$B68,tbLancamentos[Momento da falha],"&gt;="&amp;C$9,tbLancamentos[Momento da falha],"&lt;"&amp;D$9),0))</f>
        <v>0</v>
      </c>
      <c r="D68" s="108">
        <f ca="1">IF($B68="","",IFERROR(SUMIFS(tbLancamentos[Tempo indisponível],tbLancamentos[Setor],$B68,tbLancamentos[Momento da falha],"&gt;="&amp;D$9,tbLancamentos[Momento da falha],"&lt;"&amp;E$9),0))</f>
        <v>0</v>
      </c>
      <c r="E68" s="108">
        <f ca="1">IF($B68="","",IFERROR(SUMIFS(tbLancamentos[Tempo indisponível],tbLancamentos[Setor],$B68,tbLancamentos[Momento da falha],"&gt;="&amp;E$9,tbLancamentos[Momento da falha],"&lt;"&amp;F$9),0))</f>
        <v>0</v>
      </c>
      <c r="F68" s="108">
        <f ca="1">IF($B68="","",IFERROR(SUMIFS(tbLancamentos[Tempo indisponível],tbLancamentos[Setor],$B68,tbLancamentos[Momento da falha],"&gt;="&amp;F$9,tbLancamentos[Momento da falha],"&lt;"&amp;G$9),0))</f>
        <v>0</v>
      </c>
      <c r="G68" s="108">
        <f ca="1">IF($B68="","",IFERROR(SUMIFS(tbLancamentos[Tempo indisponível],tbLancamentos[Setor],$B68,tbLancamentos[Momento da falha],"&gt;="&amp;G$9,tbLancamentos[Momento da falha],"&lt;"&amp;H$9),0))</f>
        <v>0</v>
      </c>
      <c r="H68" s="108">
        <f ca="1">IF($B68="","",IFERROR(SUMIFS(tbLancamentos[Tempo indisponível],tbLancamentos[Setor],$B68,tbLancamentos[Momento da falha],"&gt;="&amp;H$9,tbLancamentos[Momento da falha],"&lt;"&amp;I$9),0))</f>
        <v>0</v>
      </c>
      <c r="I68" s="108">
        <f ca="1">IF($B68="","",IFERROR(SUMIFS(tbLancamentos[Tempo indisponível],tbLancamentos[Setor],$B68,tbLancamentos[Momento da falha],"&gt;="&amp;I$9,tbLancamentos[Momento da falha],"&lt;"&amp;J$9),0))</f>
        <v>0</v>
      </c>
      <c r="J68" s="108">
        <f ca="1">IF($B68="","",IFERROR(SUMIFS(tbLancamentos[Tempo indisponível],tbLancamentos[Setor],$B68,tbLancamentos[Momento da falha],"&gt;="&amp;J$9,tbLancamentos[Momento da falha],"&lt;"&amp;K$9),0))</f>
        <v>0</v>
      </c>
      <c r="K68" s="108">
        <f ca="1">IF($B68="","",IFERROR(SUMIFS(tbLancamentos[Tempo indisponível],tbLancamentos[Setor],$B68,tbLancamentos[Momento da falha],"&gt;="&amp;K$9,tbLancamentos[Momento da falha],"&lt;"&amp;L$9),0))</f>
        <v>0</v>
      </c>
      <c r="L68" s="108">
        <f ca="1">IF($B68="","",IFERROR(SUMIFS(tbLancamentos[Tempo indisponível],tbLancamentos[Setor],$B68,tbLancamentos[Momento da falha],"&gt;="&amp;L$9,tbLancamentos[Momento da falha],"&lt;"&amp;M$9),0))</f>
        <v>0</v>
      </c>
      <c r="M68" s="108">
        <f ca="1">IF($B68="","",IFERROR(SUMIFS(tbLancamentos[Tempo indisponível],tbLancamentos[Setor],$B68,tbLancamentos[Momento da falha],"&gt;="&amp;M$9,tbLancamentos[Momento da falha],"&lt;"&amp;N$9),0))</f>
        <v>0</v>
      </c>
      <c r="N68" s="108">
        <f ca="1">IF($B68="","",IFERROR(SUMIFS(tbLancamentos[Tempo indisponível],tbLancamentos[Setor],$B68,tbLancamentos[Momento da falha],"&gt;="&amp;N$9,tbLancamentos[Momento da falha],"&lt;"&amp;O$9),0))</f>
        <v>0</v>
      </c>
      <c r="O68" s="109">
        <f t="shared" ref="O68:O76" ca="1" si="38">IF(B68="","",SUM(C68:N68))</f>
        <v>0</v>
      </c>
    </row>
    <row r="69" spans="1:15" ht="20.100000000000001" customHeight="1" x14ac:dyDescent="0.25">
      <c r="A69" s="10">
        <v>3</v>
      </c>
      <c r="B69" s="107" t="str">
        <f ca="1">IFERROR(INDEX(CadSet!$C$7:$G$26,MATCH(LARGE(CadSet!$G$7:$G$26,Res!$A69),CadSet!$G$7:$G$26,0),1),"")</f>
        <v>Suprimentos</v>
      </c>
      <c r="C69" s="108">
        <f ca="1">IF($B69="","",IFERROR(SUMIFS(tbLancamentos[Tempo indisponível],tbLancamentos[Setor],$B69,tbLancamentos[Momento da falha],"&gt;="&amp;C$9,tbLancamentos[Momento da falha],"&lt;"&amp;D$9),0))</f>
        <v>0</v>
      </c>
      <c r="D69" s="108">
        <f ca="1">IF($B69="","",IFERROR(SUMIFS(tbLancamentos[Tempo indisponível],tbLancamentos[Setor],$B69,tbLancamentos[Momento da falha],"&gt;="&amp;D$9,tbLancamentos[Momento da falha],"&lt;"&amp;E$9),0))</f>
        <v>0</v>
      </c>
      <c r="E69" s="108">
        <f ca="1">IF($B69="","",IFERROR(SUMIFS(tbLancamentos[Tempo indisponível],tbLancamentos[Setor],$B69,tbLancamentos[Momento da falha],"&gt;="&amp;E$9,tbLancamentos[Momento da falha],"&lt;"&amp;F$9),0))</f>
        <v>0</v>
      </c>
      <c r="F69" s="108">
        <f ca="1">IF($B69="","",IFERROR(SUMIFS(tbLancamentos[Tempo indisponível],tbLancamentos[Setor],$B69,tbLancamentos[Momento da falha],"&gt;="&amp;F$9,tbLancamentos[Momento da falha],"&lt;"&amp;G$9),0))</f>
        <v>0</v>
      </c>
      <c r="G69" s="108">
        <f ca="1">IF($B69="","",IFERROR(SUMIFS(tbLancamentos[Tempo indisponível],tbLancamentos[Setor],$B69,tbLancamentos[Momento da falha],"&gt;="&amp;G$9,tbLancamentos[Momento da falha],"&lt;"&amp;H$9),0))</f>
        <v>0</v>
      </c>
      <c r="H69" s="108">
        <f ca="1">IF($B69="","",IFERROR(SUMIFS(tbLancamentos[Tempo indisponível],tbLancamentos[Setor],$B69,tbLancamentos[Momento da falha],"&gt;="&amp;H$9,tbLancamentos[Momento da falha],"&lt;"&amp;I$9),0))</f>
        <v>0</v>
      </c>
      <c r="I69" s="108">
        <f ca="1">IF($B69="","",IFERROR(SUMIFS(tbLancamentos[Tempo indisponível],tbLancamentos[Setor],$B69,tbLancamentos[Momento da falha],"&gt;="&amp;I$9,tbLancamentos[Momento da falha],"&lt;"&amp;J$9),0))</f>
        <v>0</v>
      </c>
      <c r="J69" s="108">
        <f ca="1">IF($B69="","",IFERROR(SUMIFS(tbLancamentos[Tempo indisponível],tbLancamentos[Setor],$B69,tbLancamentos[Momento da falha],"&gt;="&amp;J$9,tbLancamentos[Momento da falha],"&lt;"&amp;K$9),0))</f>
        <v>0</v>
      </c>
      <c r="K69" s="108">
        <f ca="1">IF($B69="","",IFERROR(SUMIFS(tbLancamentos[Tempo indisponível],tbLancamentos[Setor],$B69,tbLancamentos[Momento da falha],"&gt;="&amp;K$9,tbLancamentos[Momento da falha],"&lt;"&amp;L$9),0))</f>
        <v>0</v>
      </c>
      <c r="L69" s="108">
        <f ca="1">IF($B69="","",IFERROR(SUMIFS(tbLancamentos[Tempo indisponível],tbLancamentos[Setor],$B69,tbLancamentos[Momento da falha],"&gt;="&amp;L$9,tbLancamentos[Momento da falha],"&lt;"&amp;M$9),0))</f>
        <v>0</v>
      </c>
      <c r="M69" s="108">
        <f ca="1">IF($B69="","",IFERROR(SUMIFS(tbLancamentos[Tempo indisponível],tbLancamentos[Setor],$B69,tbLancamentos[Momento da falha],"&gt;="&amp;M$9,tbLancamentos[Momento da falha],"&lt;"&amp;N$9),0))</f>
        <v>0</v>
      </c>
      <c r="N69" s="108">
        <f ca="1">IF($B69="","",IFERROR(SUMIFS(tbLancamentos[Tempo indisponível],tbLancamentos[Setor],$B69,tbLancamentos[Momento da falha],"&gt;="&amp;N$9,tbLancamentos[Momento da falha],"&lt;"&amp;O$9),0))</f>
        <v>0</v>
      </c>
      <c r="O69" s="109">
        <f t="shared" ca="1" si="38"/>
        <v>0</v>
      </c>
    </row>
    <row r="70" spans="1:15" ht="20.100000000000001" customHeight="1" x14ac:dyDescent="0.25">
      <c r="A70" s="10">
        <v>4</v>
      </c>
      <c r="B70" s="107" t="str">
        <f ca="1">IFERROR(INDEX(CadSet!$C$7:$G$26,MATCH(LARGE(CadSet!$G$7:$G$26,Res!$A70),CadSet!$G$7:$G$26,0),1),"")</f>
        <v>Operação</v>
      </c>
      <c r="C70" s="108">
        <f ca="1">IF($B70="","",IFERROR(SUMIFS(tbLancamentos[Tempo indisponível],tbLancamentos[Setor],$B70,tbLancamentos[Momento da falha],"&gt;="&amp;C$9,tbLancamentos[Momento da falha],"&lt;"&amp;D$9),0))</f>
        <v>0</v>
      </c>
      <c r="D70" s="108">
        <f ca="1">IF($B70="","",IFERROR(SUMIFS(tbLancamentos[Tempo indisponível],tbLancamentos[Setor],$B70,tbLancamentos[Momento da falha],"&gt;="&amp;D$9,tbLancamentos[Momento da falha],"&lt;"&amp;E$9),0))</f>
        <v>0</v>
      </c>
      <c r="E70" s="108">
        <f ca="1">IF($B70="","",IFERROR(SUMIFS(tbLancamentos[Tempo indisponível],tbLancamentos[Setor],$B70,tbLancamentos[Momento da falha],"&gt;="&amp;E$9,tbLancamentos[Momento da falha],"&lt;"&amp;F$9),0))</f>
        <v>0</v>
      </c>
      <c r="F70" s="108">
        <f ca="1">IF($B70="","",IFERROR(SUMIFS(tbLancamentos[Tempo indisponível],tbLancamentos[Setor],$B70,tbLancamentos[Momento da falha],"&gt;="&amp;F$9,tbLancamentos[Momento da falha],"&lt;"&amp;G$9),0))</f>
        <v>0</v>
      </c>
      <c r="G70" s="108">
        <f ca="1">IF($B70="","",IFERROR(SUMIFS(tbLancamentos[Tempo indisponível],tbLancamentos[Setor],$B70,tbLancamentos[Momento da falha],"&gt;="&amp;G$9,tbLancamentos[Momento da falha],"&lt;"&amp;H$9),0))</f>
        <v>0</v>
      </c>
      <c r="H70" s="108">
        <f ca="1">IF($B70="","",IFERROR(SUMIFS(tbLancamentos[Tempo indisponível],tbLancamentos[Setor],$B70,tbLancamentos[Momento da falha],"&gt;="&amp;H$9,tbLancamentos[Momento da falha],"&lt;"&amp;I$9),0))</f>
        <v>0</v>
      </c>
      <c r="I70" s="108">
        <f ca="1">IF($B70="","",IFERROR(SUMIFS(tbLancamentos[Tempo indisponível],tbLancamentos[Setor],$B70,tbLancamentos[Momento da falha],"&gt;="&amp;I$9,tbLancamentos[Momento da falha],"&lt;"&amp;J$9),0))</f>
        <v>0</v>
      </c>
      <c r="J70" s="108">
        <f ca="1">IF($B70="","",IFERROR(SUMIFS(tbLancamentos[Tempo indisponível],tbLancamentos[Setor],$B70,tbLancamentos[Momento da falha],"&gt;="&amp;J$9,tbLancamentos[Momento da falha],"&lt;"&amp;K$9),0))</f>
        <v>0</v>
      </c>
      <c r="K70" s="108">
        <f ca="1">IF($B70="","",IFERROR(SUMIFS(tbLancamentos[Tempo indisponível],tbLancamentos[Setor],$B70,tbLancamentos[Momento da falha],"&gt;="&amp;K$9,tbLancamentos[Momento da falha],"&lt;"&amp;L$9),0))</f>
        <v>0</v>
      </c>
      <c r="L70" s="108">
        <f ca="1">IF($B70="","",IFERROR(SUMIFS(tbLancamentos[Tempo indisponível],tbLancamentos[Setor],$B70,tbLancamentos[Momento da falha],"&gt;="&amp;L$9,tbLancamentos[Momento da falha],"&lt;"&amp;M$9),0))</f>
        <v>0</v>
      </c>
      <c r="M70" s="108">
        <f ca="1">IF($B70="","",IFERROR(SUMIFS(tbLancamentos[Tempo indisponível],tbLancamentos[Setor],$B70,tbLancamentos[Momento da falha],"&gt;="&amp;M$9,tbLancamentos[Momento da falha],"&lt;"&amp;N$9),0))</f>
        <v>0</v>
      </c>
      <c r="N70" s="108">
        <f ca="1">IF($B70="","",IFERROR(SUMIFS(tbLancamentos[Tempo indisponível],tbLancamentos[Setor],$B70,tbLancamentos[Momento da falha],"&gt;="&amp;N$9,tbLancamentos[Momento da falha],"&lt;"&amp;O$9),0))</f>
        <v>0</v>
      </c>
      <c r="O70" s="109">
        <f t="shared" ca="1" si="38"/>
        <v>0</v>
      </c>
    </row>
    <row r="71" spans="1:15" ht="20.100000000000001" customHeight="1" x14ac:dyDescent="0.25">
      <c r="A71" s="10">
        <v>5</v>
      </c>
      <c r="B71" s="107" t="str">
        <f ca="1">IFERROR(INDEX(CadSet!$C$7:$G$26,MATCH(LARGE(CadSet!$G$7:$G$26,Res!$A71),CadSet!$G$7:$G$26,0),1),"")</f>
        <v/>
      </c>
      <c r="C71" s="108" t="str">
        <f ca="1">IF($B71="","",IFERROR(SUMIFS(tbLancamentos[Tempo indisponível],tbLancamentos[Setor],$B71,tbLancamentos[Momento da falha],"&gt;="&amp;C$9,tbLancamentos[Momento da falha],"&lt;"&amp;D$9),0))</f>
        <v/>
      </c>
      <c r="D71" s="108" t="str">
        <f ca="1">IF($B71="","",IFERROR(SUMIFS(tbLancamentos[Tempo indisponível],tbLancamentos[Setor],$B71,tbLancamentos[Momento da falha],"&gt;="&amp;D$9,tbLancamentos[Momento da falha],"&lt;"&amp;E$9),0))</f>
        <v/>
      </c>
      <c r="E71" s="108" t="str">
        <f ca="1">IF($B71="","",IFERROR(SUMIFS(tbLancamentos[Tempo indisponível],tbLancamentos[Setor],$B71,tbLancamentos[Momento da falha],"&gt;="&amp;E$9,tbLancamentos[Momento da falha],"&lt;"&amp;F$9),0))</f>
        <v/>
      </c>
      <c r="F71" s="108" t="str">
        <f ca="1">IF($B71="","",IFERROR(SUMIFS(tbLancamentos[Tempo indisponível],tbLancamentos[Setor],$B71,tbLancamentos[Momento da falha],"&gt;="&amp;F$9,tbLancamentos[Momento da falha],"&lt;"&amp;G$9),0))</f>
        <v/>
      </c>
      <c r="G71" s="108" t="str">
        <f ca="1">IF($B71="","",IFERROR(SUMIFS(tbLancamentos[Tempo indisponível],tbLancamentos[Setor],$B71,tbLancamentos[Momento da falha],"&gt;="&amp;G$9,tbLancamentos[Momento da falha],"&lt;"&amp;H$9),0))</f>
        <v/>
      </c>
      <c r="H71" s="108" t="str">
        <f ca="1">IF($B71="","",IFERROR(SUMIFS(tbLancamentos[Tempo indisponível],tbLancamentos[Setor],$B71,tbLancamentos[Momento da falha],"&gt;="&amp;H$9,tbLancamentos[Momento da falha],"&lt;"&amp;I$9),0))</f>
        <v/>
      </c>
      <c r="I71" s="108" t="str">
        <f ca="1">IF($B71="","",IFERROR(SUMIFS(tbLancamentos[Tempo indisponível],tbLancamentos[Setor],$B71,tbLancamentos[Momento da falha],"&gt;="&amp;I$9,tbLancamentos[Momento da falha],"&lt;"&amp;J$9),0))</f>
        <v/>
      </c>
      <c r="J71" s="108" t="str">
        <f ca="1">IF($B71="","",IFERROR(SUMIFS(tbLancamentos[Tempo indisponível],tbLancamentos[Setor],$B71,tbLancamentos[Momento da falha],"&gt;="&amp;J$9,tbLancamentos[Momento da falha],"&lt;"&amp;K$9),0))</f>
        <v/>
      </c>
      <c r="K71" s="108" t="str">
        <f ca="1">IF($B71="","",IFERROR(SUMIFS(tbLancamentos[Tempo indisponível],tbLancamentos[Setor],$B71,tbLancamentos[Momento da falha],"&gt;="&amp;K$9,tbLancamentos[Momento da falha],"&lt;"&amp;L$9),0))</f>
        <v/>
      </c>
      <c r="L71" s="108" t="str">
        <f ca="1">IF($B71="","",IFERROR(SUMIFS(tbLancamentos[Tempo indisponível],tbLancamentos[Setor],$B71,tbLancamentos[Momento da falha],"&gt;="&amp;L$9,tbLancamentos[Momento da falha],"&lt;"&amp;M$9),0))</f>
        <v/>
      </c>
      <c r="M71" s="108" t="str">
        <f ca="1">IF($B71="","",IFERROR(SUMIFS(tbLancamentos[Tempo indisponível],tbLancamentos[Setor],$B71,tbLancamentos[Momento da falha],"&gt;="&amp;M$9,tbLancamentos[Momento da falha],"&lt;"&amp;N$9),0))</f>
        <v/>
      </c>
      <c r="N71" s="108" t="str">
        <f ca="1">IF($B71="","",IFERROR(SUMIFS(tbLancamentos[Tempo indisponível],tbLancamentos[Setor],$B71,tbLancamentos[Momento da falha],"&gt;="&amp;N$9,tbLancamentos[Momento da falha],"&lt;"&amp;O$9),0))</f>
        <v/>
      </c>
      <c r="O71" s="109" t="str">
        <f t="shared" ca="1" si="38"/>
        <v/>
      </c>
    </row>
    <row r="72" spans="1:15" ht="20.100000000000001" customHeight="1" x14ac:dyDescent="0.25">
      <c r="A72" s="10">
        <v>6</v>
      </c>
      <c r="B72" s="107" t="str">
        <f ca="1">IFERROR(INDEX(CadSet!$C$7:$G$26,MATCH(LARGE(CadSet!$G$7:$G$26,Res!$A72),CadSet!$G$7:$G$26,0),1),"")</f>
        <v/>
      </c>
      <c r="C72" s="108" t="str">
        <f ca="1">IF($B72="","",IFERROR(SUMIFS(tbLancamentos[Tempo indisponível],tbLancamentos[Setor],$B72,tbLancamentos[Momento da falha],"&gt;="&amp;C$9,tbLancamentos[Momento da falha],"&lt;"&amp;D$9),0))</f>
        <v/>
      </c>
      <c r="D72" s="108" t="str">
        <f ca="1">IF($B72="","",IFERROR(SUMIFS(tbLancamentos[Tempo indisponível],tbLancamentos[Setor],$B72,tbLancamentos[Momento da falha],"&gt;="&amp;D$9,tbLancamentos[Momento da falha],"&lt;"&amp;E$9),0))</f>
        <v/>
      </c>
      <c r="E72" s="108" t="str">
        <f ca="1">IF($B72="","",IFERROR(SUMIFS(tbLancamentos[Tempo indisponível],tbLancamentos[Setor],$B72,tbLancamentos[Momento da falha],"&gt;="&amp;E$9,tbLancamentos[Momento da falha],"&lt;"&amp;F$9),0))</f>
        <v/>
      </c>
      <c r="F72" s="108" t="str">
        <f ca="1">IF($B72="","",IFERROR(SUMIFS(tbLancamentos[Tempo indisponível],tbLancamentos[Setor],$B72,tbLancamentos[Momento da falha],"&gt;="&amp;F$9,tbLancamentos[Momento da falha],"&lt;"&amp;G$9),0))</f>
        <v/>
      </c>
      <c r="G72" s="108" t="str">
        <f ca="1">IF($B72="","",IFERROR(SUMIFS(tbLancamentos[Tempo indisponível],tbLancamentos[Setor],$B72,tbLancamentos[Momento da falha],"&gt;="&amp;G$9,tbLancamentos[Momento da falha],"&lt;"&amp;H$9),0))</f>
        <v/>
      </c>
      <c r="H72" s="108" t="str">
        <f ca="1">IF($B72="","",IFERROR(SUMIFS(tbLancamentos[Tempo indisponível],tbLancamentos[Setor],$B72,tbLancamentos[Momento da falha],"&gt;="&amp;H$9,tbLancamentos[Momento da falha],"&lt;"&amp;I$9),0))</f>
        <v/>
      </c>
      <c r="I72" s="108" t="str">
        <f ca="1">IF($B72="","",IFERROR(SUMIFS(tbLancamentos[Tempo indisponível],tbLancamentos[Setor],$B72,tbLancamentos[Momento da falha],"&gt;="&amp;I$9,tbLancamentos[Momento da falha],"&lt;"&amp;J$9),0))</f>
        <v/>
      </c>
      <c r="J72" s="108" t="str">
        <f ca="1">IF($B72="","",IFERROR(SUMIFS(tbLancamentos[Tempo indisponível],tbLancamentos[Setor],$B72,tbLancamentos[Momento da falha],"&gt;="&amp;J$9,tbLancamentos[Momento da falha],"&lt;"&amp;K$9),0))</f>
        <v/>
      </c>
      <c r="K72" s="108" t="str">
        <f ca="1">IF($B72="","",IFERROR(SUMIFS(tbLancamentos[Tempo indisponível],tbLancamentos[Setor],$B72,tbLancamentos[Momento da falha],"&gt;="&amp;K$9,tbLancamentos[Momento da falha],"&lt;"&amp;L$9),0))</f>
        <v/>
      </c>
      <c r="L72" s="108" t="str">
        <f ca="1">IF($B72="","",IFERROR(SUMIFS(tbLancamentos[Tempo indisponível],tbLancamentos[Setor],$B72,tbLancamentos[Momento da falha],"&gt;="&amp;L$9,tbLancamentos[Momento da falha],"&lt;"&amp;M$9),0))</f>
        <v/>
      </c>
      <c r="M72" s="108" t="str">
        <f ca="1">IF($B72="","",IFERROR(SUMIFS(tbLancamentos[Tempo indisponível],tbLancamentos[Setor],$B72,tbLancamentos[Momento da falha],"&gt;="&amp;M$9,tbLancamentos[Momento da falha],"&lt;"&amp;N$9),0))</f>
        <v/>
      </c>
      <c r="N72" s="108" t="str">
        <f ca="1">IF($B72="","",IFERROR(SUMIFS(tbLancamentos[Tempo indisponível],tbLancamentos[Setor],$B72,tbLancamentos[Momento da falha],"&gt;="&amp;N$9,tbLancamentos[Momento da falha],"&lt;"&amp;O$9),0))</f>
        <v/>
      </c>
      <c r="O72" s="109" t="str">
        <f t="shared" ca="1" si="38"/>
        <v/>
      </c>
    </row>
    <row r="73" spans="1:15" ht="20.100000000000001" customHeight="1" x14ac:dyDescent="0.25">
      <c r="A73" s="10">
        <v>7</v>
      </c>
      <c r="B73" s="107" t="str">
        <f ca="1">IFERROR(INDEX(CadSet!$C$7:$G$26,MATCH(LARGE(CadSet!$G$7:$G$26,Res!$A73),CadSet!$G$7:$G$26,0),1),"")</f>
        <v/>
      </c>
      <c r="C73" s="108" t="str">
        <f ca="1">IF($B73="","",IFERROR(SUMIFS(tbLancamentos[Tempo indisponível],tbLancamentos[Setor],$B73,tbLancamentos[Momento da falha],"&gt;="&amp;C$9,tbLancamentos[Momento da falha],"&lt;"&amp;D$9),0))</f>
        <v/>
      </c>
      <c r="D73" s="108" t="str">
        <f ca="1">IF($B73="","",IFERROR(SUMIFS(tbLancamentos[Tempo indisponível],tbLancamentos[Setor],$B73,tbLancamentos[Momento da falha],"&gt;="&amp;D$9,tbLancamentos[Momento da falha],"&lt;"&amp;E$9),0))</f>
        <v/>
      </c>
      <c r="E73" s="108" t="str">
        <f ca="1">IF($B73="","",IFERROR(SUMIFS(tbLancamentos[Tempo indisponível],tbLancamentos[Setor],$B73,tbLancamentos[Momento da falha],"&gt;="&amp;E$9,tbLancamentos[Momento da falha],"&lt;"&amp;F$9),0))</f>
        <v/>
      </c>
      <c r="F73" s="108" t="str">
        <f ca="1">IF($B73="","",IFERROR(SUMIFS(tbLancamentos[Tempo indisponível],tbLancamentos[Setor],$B73,tbLancamentos[Momento da falha],"&gt;="&amp;F$9,tbLancamentos[Momento da falha],"&lt;"&amp;G$9),0))</f>
        <v/>
      </c>
      <c r="G73" s="108" t="str">
        <f ca="1">IF($B73="","",IFERROR(SUMIFS(tbLancamentos[Tempo indisponível],tbLancamentos[Setor],$B73,tbLancamentos[Momento da falha],"&gt;="&amp;G$9,tbLancamentos[Momento da falha],"&lt;"&amp;H$9),0))</f>
        <v/>
      </c>
      <c r="H73" s="108" t="str">
        <f ca="1">IF($B73="","",IFERROR(SUMIFS(tbLancamentos[Tempo indisponível],tbLancamentos[Setor],$B73,tbLancamentos[Momento da falha],"&gt;="&amp;H$9,tbLancamentos[Momento da falha],"&lt;"&amp;I$9),0))</f>
        <v/>
      </c>
      <c r="I73" s="108" t="str">
        <f ca="1">IF($B73="","",IFERROR(SUMIFS(tbLancamentos[Tempo indisponível],tbLancamentos[Setor],$B73,tbLancamentos[Momento da falha],"&gt;="&amp;I$9,tbLancamentos[Momento da falha],"&lt;"&amp;J$9),0))</f>
        <v/>
      </c>
      <c r="J73" s="108" t="str">
        <f ca="1">IF($B73="","",IFERROR(SUMIFS(tbLancamentos[Tempo indisponível],tbLancamentos[Setor],$B73,tbLancamentos[Momento da falha],"&gt;="&amp;J$9,tbLancamentos[Momento da falha],"&lt;"&amp;K$9),0))</f>
        <v/>
      </c>
      <c r="K73" s="108" t="str">
        <f ca="1">IF($B73="","",IFERROR(SUMIFS(tbLancamentos[Tempo indisponível],tbLancamentos[Setor],$B73,tbLancamentos[Momento da falha],"&gt;="&amp;K$9,tbLancamentos[Momento da falha],"&lt;"&amp;L$9),0))</f>
        <v/>
      </c>
      <c r="L73" s="108" t="str">
        <f ca="1">IF($B73="","",IFERROR(SUMIFS(tbLancamentos[Tempo indisponível],tbLancamentos[Setor],$B73,tbLancamentos[Momento da falha],"&gt;="&amp;L$9,tbLancamentos[Momento da falha],"&lt;"&amp;M$9),0))</f>
        <v/>
      </c>
      <c r="M73" s="108" t="str">
        <f ca="1">IF($B73="","",IFERROR(SUMIFS(tbLancamentos[Tempo indisponível],tbLancamentos[Setor],$B73,tbLancamentos[Momento da falha],"&gt;="&amp;M$9,tbLancamentos[Momento da falha],"&lt;"&amp;N$9),0))</f>
        <v/>
      </c>
      <c r="N73" s="108" t="str">
        <f ca="1">IF($B73="","",IFERROR(SUMIFS(tbLancamentos[Tempo indisponível],tbLancamentos[Setor],$B73,tbLancamentos[Momento da falha],"&gt;="&amp;N$9,tbLancamentos[Momento da falha],"&lt;"&amp;O$9),0))</f>
        <v/>
      </c>
      <c r="O73" s="109" t="str">
        <f t="shared" ca="1" si="38"/>
        <v/>
      </c>
    </row>
    <row r="74" spans="1:15" ht="20.100000000000001" customHeight="1" x14ac:dyDescent="0.25">
      <c r="A74" s="10">
        <v>8</v>
      </c>
      <c r="B74" s="107" t="str">
        <f ca="1">IFERROR(INDEX(CadSet!$C$7:$G$26,MATCH(LARGE(CadSet!$G$7:$G$26,Res!$A74),CadSet!$G$7:$G$26,0),1),"")</f>
        <v/>
      </c>
      <c r="C74" s="108" t="str">
        <f ca="1">IF($B74="","",IFERROR(SUMIFS(tbLancamentos[Tempo indisponível],tbLancamentos[Setor],$B74,tbLancamentos[Momento da falha],"&gt;="&amp;C$9,tbLancamentos[Momento da falha],"&lt;"&amp;D$9),0))</f>
        <v/>
      </c>
      <c r="D74" s="108" t="str">
        <f ca="1">IF($B74="","",IFERROR(SUMIFS(tbLancamentos[Tempo indisponível],tbLancamentos[Setor],$B74,tbLancamentos[Momento da falha],"&gt;="&amp;D$9,tbLancamentos[Momento da falha],"&lt;"&amp;E$9),0))</f>
        <v/>
      </c>
      <c r="E74" s="108" t="str">
        <f ca="1">IF($B74="","",IFERROR(SUMIFS(tbLancamentos[Tempo indisponível],tbLancamentos[Setor],$B74,tbLancamentos[Momento da falha],"&gt;="&amp;E$9,tbLancamentos[Momento da falha],"&lt;"&amp;F$9),0))</f>
        <v/>
      </c>
      <c r="F74" s="108" t="str">
        <f ca="1">IF($B74="","",IFERROR(SUMIFS(tbLancamentos[Tempo indisponível],tbLancamentos[Setor],$B74,tbLancamentos[Momento da falha],"&gt;="&amp;F$9,tbLancamentos[Momento da falha],"&lt;"&amp;G$9),0))</f>
        <v/>
      </c>
      <c r="G74" s="108" t="str">
        <f ca="1">IF($B74="","",IFERROR(SUMIFS(tbLancamentos[Tempo indisponível],tbLancamentos[Setor],$B74,tbLancamentos[Momento da falha],"&gt;="&amp;G$9,tbLancamentos[Momento da falha],"&lt;"&amp;H$9),0))</f>
        <v/>
      </c>
      <c r="H74" s="108" t="str">
        <f ca="1">IF($B74="","",IFERROR(SUMIFS(tbLancamentos[Tempo indisponível],tbLancamentos[Setor],$B74,tbLancamentos[Momento da falha],"&gt;="&amp;H$9,tbLancamentos[Momento da falha],"&lt;"&amp;I$9),0))</f>
        <v/>
      </c>
      <c r="I74" s="108" t="str">
        <f ca="1">IF($B74="","",IFERROR(SUMIFS(tbLancamentos[Tempo indisponível],tbLancamentos[Setor],$B74,tbLancamentos[Momento da falha],"&gt;="&amp;I$9,tbLancamentos[Momento da falha],"&lt;"&amp;J$9),0))</f>
        <v/>
      </c>
      <c r="J74" s="108" t="str">
        <f ca="1">IF($B74="","",IFERROR(SUMIFS(tbLancamentos[Tempo indisponível],tbLancamentos[Setor],$B74,tbLancamentos[Momento da falha],"&gt;="&amp;J$9,tbLancamentos[Momento da falha],"&lt;"&amp;K$9),0))</f>
        <v/>
      </c>
      <c r="K74" s="108" t="str">
        <f ca="1">IF($B74="","",IFERROR(SUMIFS(tbLancamentos[Tempo indisponível],tbLancamentos[Setor],$B74,tbLancamentos[Momento da falha],"&gt;="&amp;K$9,tbLancamentos[Momento da falha],"&lt;"&amp;L$9),0))</f>
        <v/>
      </c>
      <c r="L74" s="108" t="str">
        <f ca="1">IF($B74="","",IFERROR(SUMIFS(tbLancamentos[Tempo indisponível],tbLancamentos[Setor],$B74,tbLancamentos[Momento da falha],"&gt;="&amp;L$9,tbLancamentos[Momento da falha],"&lt;"&amp;M$9),0))</f>
        <v/>
      </c>
      <c r="M74" s="108" t="str">
        <f ca="1">IF($B74="","",IFERROR(SUMIFS(tbLancamentos[Tempo indisponível],tbLancamentos[Setor],$B74,tbLancamentos[Momento da falha],"&gt;="&amp;M$9,tbLancamentos[Momento da falha],"&lt;"&amp;N$9),0))</f>
        <v/>
      </c>
      <c r="N74" s="108" t="str">
        <f ca="1">IF($B74="","",IFERROR(SUMIFS(tbLancamentos[Tempo indisponível],tbLancamentos[Setor],$B74,tbLancamentos[Momento da falha],"&gt;="&amp;N$9,tbLancamentos[Momento da falha],"&lt;"&amp;O$9),0))</f>
        <v/>
      </c>
      <c r="O74" s="109" t="str">
        <f t="shared" ca="1" si="38"/>
        <v/>
      </c>
    </row>
    <row r="75" spans="1:15" ht="20.100000000000001" customHeight="1" x14ac:dyDescent="0.25">
      <c r="A75" s="10">
        <v>9</v>
      </c>
      <c r="B75" s="107" t="str">
        <f ca="1">IFERROR(INDEX(CadSet!$C$7:$G$26,MATCH(LARGE(CadSet!$G$7:$G$26,Res!$A75),CadSet!$G$7:$G$26,0),1),"")</f>
        <v/>
      </c>
      <c r="C75" s="108" t="str">
        <f ca="1">IF($B75="","",IFERROR(SUMIFS(tbLancamentos[Tempo indisponível],tbLancamentos[Setor],$B75,tbLancamentos[Momento da falha],"&gt;="&amp;C$9,tbLancamentos[Momento da falha],"&lt;"&amp;D$9),0))</f>
        <v/>
      </c>
      <c r="D75" s="108" t="str">
        <f ca="1">IF($B75="","",IFERROR(SUMIFS(tbLancamentos[Tempo indisponível],tbLancamentos[Setor],$B75,tbLancamentos[Momento da falha],"&gt;="&amp;D$9,tbLancamentos[Momento da falha],"&lt;"&amp;E$9),0))</f>
        <v/>
      </c>
      <c r="E75" s="108" t="str">
        <f ca="1">IF($B75="","",IFERROR(SUMIFS(tbLancamentos[Tempo indisponível],tbLancamentos[Setor],$B75,tbLancamentos[Momento da falha],"&gt;="&amp;E$9,tbLancamentos[Momento da falha],"&lt;"&amp;F$9),0))</f>
        <v/>
      </c>
      <c r="F75" s="108" t="str">
        <f ca="1">IF($B75="","",IFERROR(SUMIFS(tbLancamentos[Tempo indisponível],tbLancamentos[Setor],$B75,tbLancamentos[Momento da falha],"&gt;="&amp;F$9,tbLancamentos[Momento da falha],"&lt;"&amp;G$9),0))</f>
        <v/>
      </c>
      <c r="G75" s="108" t="str">
        <f ca="1">IF($B75="","",IFERROR(SUMIFS(tbLancamentos[Tempo indisponível],tbLancamentos[Setor],$B75,tbLancamentos[Momento da falha],"&gt;="&amp;G$9,tbLancamentos[Momento da falha],"&lt;"&amp;H$9),0))</f>
        <v/>
      </c>
      <c r="H75" s="108" t="str">
        <f ca="1">IF($B75="","",IFERROR(SUMIFS(tbLancamentos[Tempo indisponível],tbLancamentos[Setor],$B75,tbLancamentos[Momento da falha],"&gt;="&amp;H$9,tbLancamentos[Momento da falha],"&lt;"&amp;I$9),0))</f>
        <v/>
      </c>
      <c r="I75" s="108" t="str">
        <f ca="1">IF($B75="","",IFERROR(SUMIFS(tbLancamentos[Tempo indisponível],tbLancamentos[Setor],$B75,tbLancamentos[Momento da falha],"&gt;="&amp;I$9,tbLancamentos[Momento da falha],"&lt;"&amp;J$9),0))</f>
        <v/>
      </c>
      <c r="J75" s="108" t="str">
        <f ca="1">IF($B75="","",IFERROR(SUMIFS(tbLancamentos[Tempo indisponível],tbLancamentos[Setor],$B75,tbLancamentos[Momento da falha],"&gt;="&amp;J$9,tbLancamentos[Momento da falha],"&lt;"&amp;K$9),0))</f>
        <v/>
      </c>
      <c r="K75" s="108" t="str">
        <f ca="1">IF($B75="","",IFERROR(SUMIFS(tbLancamentos[Tempo indisponível],tbLancamentos[Setor],$B75,tbLancamentos[Momento da falha],"&gt;="&amp;K$9,tbLancamentos[Momento da falha],"&lt;"&amp;L$9),0))</f>
        <v/>
      </c>
      <c r="L75" s="108" t="str">
        <f ca="1">IF($B75="","",IFERROR(SUMIFS(tbLancamentos[Tempo indisponível],tbLancamentos[Setor],$B75,tbLancamentos[Momento da falha],"&gt;="&amp;L$9,tbLancamentos[Momento da falha],"&lt;"&amp;M$9),0))</f>
        <v/>
      </c>
      <c r="M75" s="108" t="str">
        <f ca="1">IF($B75="","",IFERROR(SUMIFS(tbLancamentos[Tempo indisponível],tbLancamentos[Setor],$B75,tbLancamentos[Momento da falha],"&gt;="&amp;M$9,tbLancamentos[Momento da falha],"&lt;"&amp;N$9),0))</f>
        <v/>
      </c>
      <c r="N75" s="108" t="str">
        <f ca="1">IF($B75="","",IFERROR(SUMIFS(tbLancamentos[Tempo indisponível],tbLancamentos[Setor],$B75,tbLancamentos[Momento da falha],"&gt;="&amp;N$9,tbLancamentos[Momento da falha],"&lt;"&amp;O$9),0))</f>
        <v/>
      </c>
      <c r="O75" s="109" t="str">
        <f t="shared" ca="1" si="38"/>
        <v/>
      </c>
    </row>
    <row r="76" spans="1:15" ht="20.100000000000001" customHeight="1" x14ac:dyDescent="0.25">
      <c r="A76" s="10">
        <v>10</v>
      </c>
      <c r="B76" s="107" t="str">
        <f ca="1">IFERROR(INDEX(CadSet!$C$7:$G$26,MATCH(LARGE(CadSet!$G$7:$G$26,Res!$A76),CadSet!$G$7:$G$26,0),1),"")</f>
        <v/>
      </c>
      <c r="C76" s="108" t="str">
        <f ca="1">IF($B76="","",IFERROR(SUMIFS(tbLancamentos[Tempo indisponível],tbLancamentos[Setor],$B76,tbLancamentos[Momento da falha],"&gt;="&amp;C$9,tbLancamentos[Momento da falha],"&lt;"&amp;D$9),0))</f>
        <v/>
      </c>
      <c r="D76" s="108" t="str">
        <f ca="1">IF($B76="","",IFERROR(SUMIFS(tbLancamentos[Tempo indisponível],tbLancamentos[Setor],$B76,tbLancamentos[Momento da falha],"&gt;="&amp;D$9,tbLancamentos[Momento da falha],"&lt;"&amp;E$9),0))</f>
        <v/>
      </c>
      <c r="E76" s="108" t="str">
        <f ca="1">IF($B76="","",IFERROR(SUMIFS(tbLancamentos[Tempo indisponível],tbLancamentos[Setor],$B76,tbLancamentos[Momento da falha],"&gt;="&amp;E$9,tbLancamentos[Momento da falha],"&lt;"&amp;F$9),0))</f>
        <v/>
      </c>
      <c r="F76" s="108" t="str">
        <f ca="1">IF($B76="","",IFERROR(SUMIFS(tbLancamentos[Tempo indisponível],tbLancamentos[Setor],$B76,tbLancamentos[Momento da falha],"&gt;="&amp;F$9,tbLancamentos[Momento da falha],"&lt;"&amp;G$9),0))</f>
        <v/>
      </c>
      <c r="G76" s="108" t="str">
        <f ca="1">IF($B76="","",IFERROR(SUMIFS(tbLancamentos[Tempo indisponível],tbLancamentos[Setor],$B76,tbLancamentos[Momento da falha],"&gt;="&amp;G$9,tbLancamentos[Momento da falha],"&lt;"&amp;H$9),0))</f>
        <v/>
      </c>
      <c r="H76" s="108" t="str">
        <f ca="1">IF($B76="","",IFERROR(SUMIFS(tbLancamentos[Tempo indisponível],tbLancamentos[Setor],$B76,tbLancamentos[Momento da falha],"&gt;="&amp;H$9,tbLancamentos[Momento da falha],"&lt;"&amp;I$9),0))</f>
        <v/>
      </c>
      <c r="I76" s="108" t="str">
        <f ca="1">IF($B76="","",IFERROR(SUMIFS(tbLancamentos[Tempo indisponível],tbLancamentos[Setor],$B76,tbLancamentos[Momento da falha],"&gt;="&amp;I$9,tbLancamentos[Momento da falha],"&lt;"&amp;J$9),0))</f>
        <v/>
      </c>
      <c r="J76" s="108" t="str">
        <f ca="1">IF($B76="","",IFERROR(SUMIFS(tbLancamentos[Tempo indisponível],tbLancamentos[Setor],$B76,tbLancamentos[Momento da falha],"&gt;="&amp;J$9,tbLancamentos[Momento da falha],"&lt;"&amp;K$9),0))</f>
        <v/>
      </c>
      <c r="K76" s="108" t="str">
        <f ca="1">IF($B76="","",IFERROR(SUMIFS(tbLancamentos[Tempo indisponível],tbLancamentos[Setor],$B76,tbLancamentos[Momento da falha],"&gt;="&amp;K$9,tbLancamentos[Momento da falha],"&lt;"&amp;L$9),0))</f>
        <v/>
      </c>
      <c r="L76" s="108" t="str">
        <f ca="1">IF($B76="","",IFERROR(SUMIFS(tbLancamentos[Tempo indisponível],tbLancamentos[Setor],$B76,tbLancamentos[Momento da falha],"&gt;="&amp;L$9,tbLancamentos[Momento da falha],"&lt;"&amp;M$9),0))</f>
        <v/>
      </c>
      <c r="M76" s="108" t="str">
        <f ca="1">IF($B76="","",IFERROR(SUMIFS(tbLancamentos[Tempo indisponível],tbLancamentos[Setor],$B76,tbLancamentos[Momento da falha],"&gt;="&amp;M$9,tbLancamentos[Momento da falha],"&lt;"&amp;N$9),0))</f>
        <v/>
      </c>
      <c r="N76" s="108" t="str">
        <f ca="1">IF($B76="","",IFERROR(SUMIFS(tbLancamentos[Tempo indisponível],tbLancamentos[Setor],$B76,tbLancamentos[Momento da falha],"&gt;="&amp;N$9,tbLancamentos[Momento da falha],"&lt;"&amp;O$9),0))</f>
        <v/>
      </c>
      <c r="O76" s="109" t="str">
        <f t="shared" ca="1" si="38"/>
        <v/>
      </c>
    </row>
    <row r="77" spans="1:15" ht="20.100000000000001" customHeight="1" x14ac:dyDescent="0.25">
      <c r="B77" s="110" t="s">
        <v>51</v>
      </c>
      <c r="C77" s="109">
        <f ca="1">SUM(C67:C76)</f>
        <v>0.26380345476354705</v>
      </c>
      <c r="D77" s="109">
        <f t="shared" ref="D77:N77" ca="1" si="39">SUM(D67:D76)</f>
        <v>0</v>
      </c>
      <c r="E77" s="109">
        <f t="shared" ca="1" si="39"/>
        <v>0</v>
      </c>
      <c r="F77" s="109">
        <f t="shared" ca="1" si="39"/>
        <v>0</v>
      </c>
      <c r="G77" s="109">
        <f t="shared" ca="1" si="39"/>
        <v>0</v>
      </c>
      <c r="H77" s="109">
        <f t="shared" ca="1" si="39"/>
        <v>0</v>
      </c>
      <c r="I77" s="109">
        <f t="shared" ca="1" si="39"/>
        <v>0</v>
      </c>
      <c r="J77" s="109">
        <f t="shared" ca="1" si="39"/>
        <v>0</v>
      </c>
      <c r="K77" s="109">
        <f t="shared" ca="1" si="39"/>
        <v>0</v>
      </c>
      <c r="L77" s="109">
        <f t="shared" ca="1" si="39"/>
        <v>0</v>
      </c>
      <c r="M77" s="109">
        <f t="shared" ca="1" si="39"/>
        <v>0</v>
      </c>
      <c r="N77" s="109">
        <f t="shared" ca="1" si="39"/>
        <v>0</v>
      </c>
      <c r="O77" s="111"/>
    </row>
    <row r="79" spans="1:15" ht="18.75" x14ac:dyDescent="0.3">
      <c r="B79" s="103" t="s">
        <v>111</v>
      </c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</row>
    <row r="80" spans="1:15" ht="20.100000000000001" customHeight="1" x14ac:dyDescent="0.25">
      <c r="B80" s="69" t="s">
        <v>92</v>
      </c>
      <c r="C80" s="106" t="s">
        <v>39</v>
      </c>
      <c r="D80" s="106" t="s">
        <v>40</v>
      </c>
      <c r="E80" s="106" t="s">
        <v>41</v>
      </c>
      <c r="F80" s="106" t="s">
        <v>42</v>
      </c>
      <c r="G80" s="106" t="s">
        <v>43</v>
      </c>
      <c r="H80" s="106" t="s">
        <v>44</v>
      </c>
      <c r="I80" s="106" t="s">
        <v>45</v>
      </c>
      <c r="J80" s="106" t="s">
        <v>46</v>
      </c>
      <c r="K80" s="106" t="s">
        <v>47</v>
      </c>
      <c r="L80" s="106" t="s">
        <v>48</v>
      </c>
      <c r="M80" s="106" t="s">
        <v>49</v>
      </c>
      <c r="N80" s="106" t="s">
        <v>50</v>
      </c>
      <c r="O80" s="106" t="s">
        <v>51</v>
      </c>
    </row>
    <row r="81" spans="1:15" ht="20.100000000000001" customHeight="1" x14ac:dyDescent="0.25">
      <c r="A81" s="10">
        <v>1</v>
      </c>
      <c r="B81" s="107" t="str">
        <f ca="1">IFERROR(INDEX(CadSet!$C$7:$G$26,MATCH(LARGE(CadSet!$F$7:$F$26,Res!$A81),CadSet!$F$7:$F$26,0),1),"")</f>
        <v>Administrativo</v>
      </c>
      <c r="C81" s="112">
        <f ca="1">IF($B81="","",IFERROR(COUNTIFS(tbLancamentos[Setor],$B81,tbLancamentos[Momento da falha],"&gt;="&amp;C$9,tbLancamentos[Momento da falha],"&lt;"&amp;D$9),0))</f>
        <v>1</v>
      </c>
      <c r="D81" s="112">
        <f ca="1">IF($B81="","",IFERROR(COUNTIFS(tbLancamentos[Setor],$B81,tbLancamentos[Momento da falha],"&gt;="&amp;D$9,tbLancamentos[Momento da falha],"&lt;"&amp;E$9),0))</f>
        <v>0</v>
      </c>
      <c r="E81" s="112">
        <f ca="1">IF($B81="","",IFERROR(COUNTIFS(tbLancamentos[Setor],$B81,tbLancamentos[Momento da falha],"&gt;="&amp;E$9,tbLancamentos[Momento da falha],"&lt;"&amp;F$9),0))</f>
        <v>0</v>
      </c>
      <c r="F81" s="112">
        <f ca="1">IF($B81="","",IFERROR(COUNTIFS(tbLancamentos[Setor],$B81,tbLancamentos[Momento da falha],"&gt;="&amp;F$9,tbLancamentos[Momento da falha],"&lt;"&amp;G$9),0))</f>
        <v>0</v>
      </c>
      <c r="G81" s="112">
        <f ca="1">IF($B81="","",IFERROR(COUNTIFS(tbLancamentos[Setor],$B81,tbLancamentos[Momento da falha],"&gt;="&amp;G$9,tbLancamentos[Momento da falha],"&lt;"&amp;H$9),0))</f>
        <v>0</v>
      </c>
      <c r="H81" s="112">
        <f ca="1">IF($B81="","",IFERROR(COUNTIFS(tbLancamentos[Setor],$B81,tbLancamentos[Momento da falha],"&gt;="&amp;H$9,tbLancamentos[Momento da falha],"&lt;"&amp;I$9),0))</f>
        <v>0</v>
      </c>
      <c r="I81" s="112">
        <f ca="1">IF($B81="","",IFERROR(COUNTIFS(tbLancamentos[Setor],$B81,tbLancamentos[Momento da falha],"&gt;="&amp;I$9,tbLancamentos[Momento da falha],"&lt;"&amp;J$9),0))</f>
        <v>0</v>
      </c>
      <c r="J81" s="112">
        <f ca="1">IF($B81="","",IFERROR(COUNTIFS(tbLancamentos[Setor],$B81,tbLancamentos[Momento da falha],"&gt;="&amp;J$9,tbLancamentos[Momento da falha],"&lt;"&amp;K$9),0))</f>
        <v>0</v>
      </c>
      <c r="K81" s="112">
        <f ca="1">IF($B81="","",IFERROR(COUNTIFS(tbLancamentos[Setor],$B81,tbLancamentos[Momento da falha],"&gt;="&amp;K$9,tbLancamentos[Momento da falha],"&lt;"&amp;L$9),0))</f>
        <v>0</v>
      </c>
      <c r="L81" s="112">
        <f ca="1">IF($B81="","",IFERROR(COUNTIFS(tbLancamentos[Setor],$B81,tbLancamentos[Momento da falha],"&gt;="&amp;L$9,tbLancamentos[Momento da falha],"&lt;"&amp;M$9),0))</f>
        <v>0</v>
      </c>
      <c r="M81" s="112">
        <f ca="1">IF($B81="","",IFERROR(COUNTIFS(tbLancamentos[Setor],$B81,tbLancamentos[Momento da falha],"&gt;="&amp;M$9,tbLancamentos[Momento da falha],"&lt;"&amp;N$9),0))</f>
        <v>0</v>
      </c>
      <c r="N81" s="112">
        <f ca="1">IF($B81="","",IFERROR(COUNTIFS(tbLancamentos[Setor],$B81,tbLancamentos[Momento da falha],"&gt;="&amp;N$9,tbLancamentos[Momento da falha],"&lt;"&amp;O$9),0))</f>
        <v>0</v>
      </c>
      <c r="O81" s="113">
        <f ca="1">IF(B81="","",SUM(C81:N81))</f>
        <v>1</v>
      </c>
    </row>
    <row r="82" spans="1:15" ht="20.100000000000001" customHeight="1" x14ac:dyDescent="0.25">
      <c r="A82" s="10">
        <v>2</v>
      </c>
      <c r="B82" s="107" t="str">
        <f ca="1">IFERROR(INDEX(CadSet!$C$7:$G$26,MATCH(LARGE(CadSet!$F$7:$F$26,Res!$A82),CadSet!$F$7:$F$26,0),1),"")</f>
        <v>Manutenção</v>
      </c>
      <c r="C82" s="112">
        <f ca="1">IF($B82="","",IFERROR(COUNTIFS(tbLancamentos[Setor],$B82,tbLancamentos[Momento da falha],"&gt;="&amp;C$9,tbLancamentos[Momento da falha],"&lt;"&amp;D$9),0))</f>
        <v>0</v>
      </c>
      <c r="D82" s="112">
        <f ca="1">IF($B82="","",IFERROR(COUNTIFS(tbLancamentos[Setor],$B82,tbLancamentos[Momento da falha],"&gt;="&amp;D$9,tbLancamentos[Momento da falha],"&lt;"&amp;E$9),0))</f>
        <v>0</v>
      </c>
      <c r="E82" s="112">
        <f ca="1">IF($B82="","",IFERROR(COUNTIFS(tbLancamentos[Setor],$B82,tbLancamentos[Momento da falha],"&gt;="&amp;E$9,tbLancamentos[Momento da falha],"&lt;"&amp;F$9),0))</f>
        <v>0</v>
      </c>
      <c r="F82" s="112">
        <f ca="1">IF($B82="","",IFERROR(COUNTIFS(tbLancamentos[Setor],$B82,tbLancamentos[Momento da falha],"&gt;="&amp;F$9,tbLancamentos[Momento da falha],"&lt;"&amp;G$9),0))</f>
        <v>0</v>
      </c>
      <c r="G82" s="112">
        <f ca="1">IF($B82="","",IFERROR(COUNTIFS(tbLancamentos[Setor],$B82,tbLancamentos[Momento da falha],"&gt;="&amp;G$9,tbLancamentos[Momento da falha],"&lt;"&amp;H$9),0))</f>
        <v>0</v>
      </c>
      <c r="H82" s="112">
        <f ca="1">IF($B82="","",IFERROR(COUNTIFS(tbLancamentos[Setor],$B82,tbLancamentos[Momento da falha],"&gt;="&amp;H$9,tbLancamentos[Momento da falha],"&lt;"&amp;I$9),0))</f>
        <v>0</v>
      </c>
      <c r="I82" s="112">
        <f ca="1">IF($B82="","",IFERROR(COUNTIFS(tbLancamentos[Setor],$B82,tbLancamentos[Momento da falha],"&gt;="&amp;I$9,tbLancamentos[Momento da falha],"&lt;"&amp;J$9),0))</f>
        <v>0</v>
      </c>
      <c r="J82" s="112">
        <f ca="1">IF($B82="","",IFERROR(COUNTIFS(tbLancamentos[Setor],$B82,tbLancamentos[Momento da falha],"&gt;="&amp;J$9,tbLancamentos[Momento da falha],"&lt;"&amp;K$9),0))</f>
        <v>0</v>
      </c>
      <c r="K82" s="112">
        <f ca="1">IF($B82="","",IFERROR(COUNTIFS(tbLancamentos[Setor],$B82,tbLancamentos[Momento da falha],"&gt;="&amp;K$9,tbLancamentos[Momento da falha],"&lt;"&amp;L$9),0))</f>
        <v>0</v>
      </c>
      <c r="L82" s="112">
        <f ca="1">IF($B82="","",IFERROR(COUNTIFS(tbLancamentos[Setor],$B82,tbLancamentos[Momento da falha],"&gt;="&amp;L$9,tbLancamentos[Momento da falha],"&lt;"&amp;M$9),0))</f>
        <v>0</v>
      </c>
      <c r="M82" s="112">
        <f ca="1">IF($B82="","",IFERROR(COUNTIFS(tbLancamentos[Setor],$B82,tbLancamentos[Momento da falha],"&gt;="&amp;M$9,tbLancamentos[Momento da falha],"&lt;"&amp;N$9),0))</f>
        <v>0</v>
      </c>
      <c r="N82" s="112">
        <f ca="1">IF($B82="","",IFERROR(COUNTIFS(tbLancamentos[Setor],$B82,tbLancamentos[Momento da falha],"&gt;="&amp;N$9,tbLancamentos[Momento da falha],"&lt;"&amp;O$9),0))</f>
        <v>0</v>
      </c>
      <c r="O82" s="113">
        <f t="shared" ref="O82:O90" ca="1" si="40">IF(B82="","",SUM(C82:N82))</f>
        <v>0</v>
      </c>
    </row>
    <row r="83" spans="1:15" ht="20.100000000000001" customHeight="1" x14ac:dyDescent="0.25">
      <c r="A83" s="10">
        <v>3</v>
      </c>
      <c r="B83" s="107" t="str">
        <f ca="1">IFERROR(INDEX(CadSet!$C$7:$G$26,MATCH(LARGE(CadSet!$F$7:$F$26,Res!$A83),CadSet!$F$7:$F$26,0),1),"")</f>
        <v>Suprimentos</v>
      </c>
      <c r="C83" s="112">
        <f ca="1">IF($B83="","",IFERROR(COUNTIFS(tbLancamentos[Setor],$B83,tbLancamentos[Momento da falha],"&gt;="&amp;C$9,tbLancamentos[Momento da falha],"&lt;"&amp;D$9),0))</f>
        <v>0</v>
      </c>
      <c r="D83" s="112">
        <f ca="1">IF($B83="","",IFERROR(COUNTIFS(tbLancamentos[Setor],$B83,tbLancamentos[Momento da falha],"&gt;="&amp;D$9,tbLancamentos[Momento da falha],"&lt;"&amp;E$9),0))</f>
        <v>0</v>
      </c>
      <c r="E83" s="112">
        <f ca="1">IF($B83="","",IFERROR(COUNTIFS(tbLancamentos[Setor],$B83,tbLancamentos[Momento da falha],"&gt;="&amp;E$9,tbLancamentos[Momento da falha],"&lt;"&amp;F$9),0))</f>
        <v>0</v>
      </c>
      <c r="F83" s="112">
        <f ca="1">IF($B83="","",IFERROR(COUNTIFS(tbLancamentos[Setor],$B83,tbLancamentos[Momento da falha],"&gt;="&amp;F$9,tbLancamentos[Momento da falha],"&lt;"&amp;G$9),0))</f>
        <v>0</v>
      </c>
      <c r="G83" s="112">
        <f ca="1">IF($B83="","",IFERROR(COUNTIFS(tbLancamentos[Setor],$B83,tbLancamentos[Momento da falha],"&gt;="&amp;G$9,tbLancamentos[Momento da falha],"&lt;"&amp;H$9),0))</f>
        <v>0</v>
      </c>
      <c r="H83" s="112">
        <f ca="1">IF($B83="","",IFERROR(COUNTIFS(tbLancamentos[Setor],$B83,tbLancamentos[Momento da falha],"&gt;="&amp;H$9,tbLancamentos[Momento da falha],"&lt;"&amp;I$9),0))</f>
        <v>0</v>
      </c>
      <c r="I83" s="112">
        <f ca="1">IF($B83="","",IFERROR(COUNTIFS(tbLancamentos[Setor],$B83,tbLancamentos[Momento da falha],"&gt;="&amp;I$9,tbLancamentos[Momento da falha],"&lt;"&amp;J$9),0))</f>
        <v>0</v>
      </c>
      <c r="J83" s="112">
        <f ca="1">IF($B83="","",IFERROR(COUNTIFS(tbLancamentos[Setor],$B83,tbLancamentos[Momento da falha],"&gt;="&amp;J$9,tbLancamentos[Momento da falha],"&lt;"&amp;K$9),0))</f>
        <v>0</v>
      </c>
      <c r="K83" s="112">
        <f ca="1">IF($B83="","",IFERROR(COUNTIFS(tbLancamentos[Setor],$B83,tbLancamentos[Momento da falha],"&gt;="&amp;K$9,tbLancamentos[Momento da falha],"&lt;"&amp;L$9),0))</f>
        <v>0</v>
      </c>
      <c r="L83" s="112">
        <f ca="1">IF($B83="","",IFERROR(COUNTIFS(tbLancamentos[Setor],$B83,tbLancamentos[Momento da falha],"&gt;="&amp;L$9,tbLancamentos[Momento da falha],"&lt;"&amp;M$9),0))</f>
        <v>0</v>
      </c>
      <c r="M83" s="112">
        <f ca="1">IF($B83="","",IFERROR(COUNTIFS(tbLancamentos[Setor],$B83,tbLancamentos[Momento da falha],"&gt;="&amp;M$9,tbLancamentos[Momento da falha],"&lt;"&amp;N$9),0))</f>
        <v>0</v>
      </c>
      <c r="N83" s="112">
        <f ca="1">IF($B83="","",IFERROR(COUNTIFS(tbLancamentos[Setor],$B83,tbLancamentos[Momento da falha],"&gt;="&amp;N$9,tbLancamentos[Momento da falha],"&lt;"&amp;O$9),0))</f>
        <v>0</v>
      </c>
      <c r="O83" s="113">
        <f t="shared" ca="1" si="40"/>
        <v>0</v>
      </c>
    </row>
    <row r="84" spans="1:15" ht="20.100000000000001" customHeight="1" x14ac:dyDescent="0.25">
      <c r="A84" s="10">
        <v>4</v>
      </c>
      <c r="B84" s="107" t="str">
        <f ca="1">IFERROR(INDEX(CadSet!$C$7:$G$26,MATCH(LARGE(CadSet!$F$7:$F$26,Res!$A84),CadSet!$F$7:$F$26,0),1),"")</f>
        <v>Operação</v>
      </c>
      <c r="C84" s="112">
        <f ca="1">IF($B84="","",IFERROR(COUNTIFS(tbLancamentos[Setor],$B84,tbLancamentos[Momento da falha],"&gt;="&amp;C$9,tbLancamentos[Momento da falha],"&lt;"&amp;D$9),0))</f>
        <v>0</v>
      </c>
      <c r="D84" s="112">
        <f ca="1">IF($B84="","",IFERROR(COUNTIFS(tbLancamentos[Setor],$B84,tbLancamentos[Momento da falha],"&gt;="&amp;D$9,tbLancamentos[Momento da falha],"&lt;"&amp;E$9),0))</f>
        <v>0</v>
      </c>
      <c r="E84" s="112">
        <f ca="1">IF($B84="","",IFERROR(COUNTIFS(tbLancamentos[Setor],$B84,tbLancamentos[Momento da falha],"&gt;="&amp;E$9,tbLancamentos[Momento da falha],"&lt;"&amp;F$9),0))</f>
        <v>0</v>
      </c>
      <c r="F84" s="112">
        <f ca="1">IF($B84="","",IFERROR(COUNTIFS(tbLancamentos[Setor],$B84,tbLancamentos[Momento da falha],"&gt;="&amp;F$9,tbLancamentos[Momento da falha],"&lt;"&amp;G$9),0))</f>
        <v>0</v>
      </c>
      <c r="G84" s="112">
        <f ca="1">IF($B84="","",IFERROR(COUNTIFS(tbLancamentos[Setor],$B84,tbLancamentos[Momento da falha],"&gt;="&amp;G$9,tbLancamentos[Momento da falha],"&lt;"&amp;H$9),0))</f>
        <v>0</v>
      </c>
      <c r="H84" s="112">
        <f ca="1">IF($B84="","",IFERROR(COUNTIFS(tbLancamentos[Setor],$B84,tbLancamentos[Momento da falha],"&gt;="&amp;H$9,tbLancamentos[Momento da falha],"&lt;"&amp;I$9),0))</f>
        <v>0</v>
      </c>
      <c r="I84" s="112">
        <f ca="1">IF($B84="","",IFERROR(COUNTIFS(tbLancamentos[Setor],$B84,tbLancamentos[Momento da falha],"&gt;="&amp;I$9,tbLancamentos[Momento da falha],"&lt;"&amp;J$9),0))</f>
        <v>0</v>
      </c>
      <c r="J84" s="112">
        <f ca="1">IF($B84="","",IFERROR(COUNTIFS(tbLancamentos[Setor],$B84,tbLancamentos[Momento da falha],"&gt;="&amp;J$9,tbLancamentos[Momento da falha],"&lt;"&amp;K$9),0))</f>
        <v>0</v>
      </c>
      <c r="K84" s="112">
        <f ca="1">IF($B84="","",IFERROR(COUNTIFS(tbLancamentos[Setor],$B84,tbLancamentos[Momento da falha],"&gt;="&amp;K$9,tbLancamentos[Momento da falha],"&lt;"&amp;L$9),0))</f>
        <v>0</v>
      </c>
      <c r="L84" s="112">
        <f ca="1">IF($B84="","",IFERROR(COUNTIFS(tbLancamentos[Setor],$B84,tbLancamentos[Momento da falha],"&gt;="&amp;L$9,tbLancamentos[Momento da falha],"&lt;"&amp;M$9),0))</f>
        <v>0</v>
      </c>
      <c r="M84" s="112">
        <f ca="1">IF($B84="","",IFERROR(COUNTIFS(tbLancamentos[Setor],$B84,tbLancamentos[Momento da falha],"&gt;="&amp;M$9,tbLancamentos[Momento da falha],"&lt;"&amp;N$9),0))</f>
        <v>0</v>
      </c>
      <c r="N84" s="112">
        <f ca="1">IF($B84="","",IFERROR(COUNTIFS(tbLancamentos[Setor],$B84,tbLancamentos[Momento da falha],"&gt;="&amp;N$9,tbLancamentos[Momento da falha],"&lt;"&amp;O$9),0))</f>
        <v>0</v>
      </c>
      <c r="O84" s="113">
        <f t="shared" ca="1" si="40"/>
        <v>0</v>
      </c>
    </row>
    <row r="85" spans="1:15" ht="20.100000000000001" customHeight="1" x14ac:dyDescent="0.25">
      <c r="A85" s="10">
        <v>5</v>
      </c>
      <c r="B85" s="107" t="str">
        <f ca="1">IFERROR(INDEX(CadSet!$C$7:$G$26,MATCH(LARGE(CadSet!$F$7:$F$26,Res!$A85),CadSet!$F$7:$F$26,0),1),"")</f>
        <v/>
      </c>
      <c r="C85" s="112" t="str">
        <f ca="1">IF($B85="","",IFERROR(COUNTIFS(tbLancamentos[Setor],$B85,tbLancamentos[Momento da falha],"&gt;="&amp;C$9,tbLancamentos[Momento da falha],"&lt;"&amp;D$9),0))</f>
        <v/>
      </c>
      <c r="D85" s="112" t="str">
        <f ca="1">IF($B85="","",IFERROR(COUNTIFS(tbLancamentos[Setor],$B85,tbLancamentos[Momento da falha],"&gt;="&amp;D$9,tbLancamentos[Momento da falha],"&lt;"&amp;E$9),0))</f>
        <v/>
      </c>
      <c r="E85" s="112" t="str">
        <f ca="1">IF($B85="","",IFERROR(COUNTIFS(tbLancamentos[Setor],$B85,tbLancamentos[Momento da falha],"&gt;="&amp;E$9,tbLancamentos[Momento da falha],"&lt;"&amp;F$9),0))</f>
        <v/>
      </c>
      <c r="F85" s="112" t="str">
        <f ca="1">IF($B85="","",IFERROR(COUNTIFS(tbLancamentos[Setor],$B85,tbLancamentos[Momento da falha],"&gt;="&amp;F$9,tbLancamentos[Momento da falha],"&lt;"&amp;G$9),0))</f>
        <v/>
      </c>
      <c r="G85" s="112" t="str">
        <f ca="1">IF($B85="","",IFERROR(COUNTIFS(tbLancamentos[Setor],$B85,tbLancamentos[Momento da falha],"&gt;="&amp;G$9,tbLancamentos[Momento da falha],"&lt;"&amp;H$9),0))</f>
        <v/>
      </c>
      <c r="H85" s="112" t="str">
        <f ca="1">IF($B85="","",IFERROR(COUNTIFS(tbLancamentos[Setor],$B85,tbLancamentos[Momento da falha],"&gt;="&amp;H$9,tbLancamentos[Momento da falha],"&lt;"&amp;I$9),0))</f>
        <v/>
      </c>
      <c r="I85" s="112" t="str">
        <f ca="1">IF($B85="","",IFERROR(COUNTIFS(tbLancamentos[Setor],$B85,tbLancamentos[Momento da falha],"&gt;="&amp;I$9,tbLancamentos[Momento da falha],"&lt;"&amp;J$9),0))</f>
        <v/>
      </c>
      <c r="J85" s="112" t="str">
        <f ca="1">IF($B85="","",IFERROR(COUNTIFS(tbLancamentos[Setor],$B85,tbLancamentos[Momento da falha],"&gt;="&amp;J$9,tbLancamentos[Momento da falha],"&lt;"&amp;K$9),0))</f>
        <v/>
      </c>
      <c r="K85" s="112" t="str">
        <f ca="1">IF($B85="","",IFERROR(COUNTIFS(tbLancamentos[Setor],$B85,tbLancamentos[Momento da falha],"&gt;="&amp;K$9,tbLancamentos[Momento da falha],"&lt;"&amp;L$9),0))</f>
        <v/>
      </c>
      <c r="L85" s="112" t="str">
        <f ca="1">IF($B85="","",IFERROR(COUNTIFS(tbLancamentos[Setor],$B85,tbLancamentos[Momento da falha],"&gt;="&amp;L$9,tbLancamentos[Momento da falha],"&lt;"&amp;M$9),0))</f>
        <v/>
      </c>
      <c r="M85" s="112" t="str">
        <f ca="1">IF($B85="","",IFERROR(COUNTIFS(tbLancamentos[Setor],$B85,tbLancamentos[Momento da falha],"&gt;="&amp;M$9,tbLancamentos[Momento da falha],"&lt;"&amp;N$9),0))</f>
        <v/>
      </c>
      <c r="N85" s="112" t="str">
        <f ca="1">IF($B85="","",IFERROR(COUNTIFS(tbLancamentos[Setor],$B85,tbLancamentos[Momento da falha],"&gt;="&amp;N$9,tbLancamentos[Momento da falha],"&lt;"&amp;O$9),0))</f>
        <v/>
      </c>
      <c r="O85" s="113" t="str">
        <f t="shared" ca="1" si="40"/>
        <v/>
      </c>
    </row>
    <row r="86" spans="1:15" ht="20.100000000000001" customHeight="1" x14ac:dyDescent="0.25">
      <c r="A86" s="10">
        <v>6</v>
      </c>
      <c r="B86" s="107" t="str">
        <f ca="1">IFERROR(INDEX(CadSet!$C$7:$G$26,MATCH(LARGE(CadSet!$F$7:$F$26,Res!$A86),CadSet!$F$7:$F$26,0),1),"")</f>
        <v/>
      </c>
      <c r="C86" s="112" t="str">
        <f ca="1">IF($B86="","",IFERROR(COUNTIFS(tbLancamentos[Setor],$B86,tbLancamentos[Momento da falha],"&gt;="&amp;C$9,tbLancamentos[Momento da falha],"&lt;"&amp;D$9),0))</f>
        <v/>
      </c>
      <c r="D86" s="112" t="str">
        <f ca="1">IF($B86="","",IFERROR(COUNTIFS(tbLancamentos[Setor],$B86,tbLancamentos[Momento da falha],"&gt;="&amp;D$9,tbLancamentos[Momento da falha],"&lt;"&amp;E$9),0))</f>
        <v/>
      </c>
      <c r="E86" s="112" t="str">
        <f ca="1">IF($B86="","",IFERROR(COUNTIFS(tbLancamentos[Setor],$B86,tbLancamentos[Momento da falha],"&gt;="&amp;E$9,tbLancamentos[Momento da falha],"&lt;"&amp;F$9),0))</f>
        <v/>
      </c>
      <c r="F86" s="112" t="str">
        <f ca="1">IF($B86="","",IFERROR(COUNTIFS(tbLancamentos[Setor],$B86,tbLancamentos[Momento da falha],"&gt;="&amp;F$9,tbLancamentos[Momento da falha],"&lt;"&amp;G$9),0))</f>
        <v/>
      </c>
      <c r="G86" s="112" t="str">
        <f ca="1">IF($B86="","",IFERROR(COUNTIFS(tbLancamentos[Setor],$B86,tbLancamentos[Momento da falha],"&gt;="&amp;G$9,tbLancamentos[Momento da falha],"&lt;"&amp;H$9),0))</f>
        <v/>
      </c>
      <c r="H86" s="112" t="str">
        <f ca="1">IF($B86="","",IFERROR(COUNTIFS(tbLancamentos[Setor],$B86,tbLancamentos[Momento da falha],"&gt;="&amp;H$9,tbLancamentos[Momento da falha],"&lt;"&amp;I$9),0))</f>
        <v/>
      </c>
      <c r="I86" s="112" t="str">
        <f ca="1">IF($B86="","",IFERROR(COUNTIFS(tbLancamentos[Setor],$B86,tbLancamentos[Momento da falha],"&gt;="&amp;I$9,tbLancamentos[Momento da falha],"&lt;"&amp;J$9),0))</f>
        <v/>
      </c>
      <c r="J86" s="112" t="str">
        <f ca="1">IF($B86="","",IFERROR(COUNTIFS(tbLancamentos[Setor],$B86,tbLancamentos[Momento da falha],"&gt;="&amp;J$9,tbLancamentos[Momento da falha],"&lt;"&amp;K$9),0))</f>
        <v/>
      </c>
      <c r="K86" s="112" t="str">
        <f ca="1">IF($B86="","",IFERROR(COUNTIFS(tbLancamentos[Setor],$B86,tbLancamentos[Momento da falha],"&gt;="&amp;K$9,tbLancamentos[Momento da falha],"&lt;"&amp;L$9),0))</f>
        <v/>
      </c>
      <c r="L86" s="112" t="str">
        <f ca="1">IF($B86="","",IFERROR(COUNTIFS(tbLancamentos[Setor],$B86,tbLancamentos[Momento da falha],"&gt;="&amp;L$9,tbLancamentos[Momento da falha],"&lt;"&amp;M$9),0))</f>
        <v/>
      </c>
      <c r="M86" s="112" t="str">
        <f ca="1">IF($B86="","",IFERROR(COUNTIFS(tbLancamentos[Setor],$B86,tbLancamentos[Momento da falha],"&gt;="&amp;M$9,tbLancamentos[Momento da falha],"&lt;"&amp;N$9),0))</f>
        <v/>
      </c>
      <c r="N86" s="112" t="str">
        <f ca="1">IF($B86="","",IFERROR(COUNTIFS(tbLancamentos[Setor],$B86,tbLancamentos[Momento da falha],"&gt;="&amp;N$9,tbLancamentos[Momento da falha],"&lt;"&amp;O$9),0))</f>
        <v/>
      </c>
      <c r="O86" s="113" t="str">
        <f t="shared" ca="1" si="40"/>
        <v/>
      </c>
    </row>
    <row r="87" spans="1:15" ht="20.100000000000001" customHeight="1" x14ac:dyDescent="0.25">
      <c r="A87" s="10">
        <v>7</v>
      </c>
      <c r="B87" s="107" t="str">
        <f ca="1">IFERROR(INDEX(CadSet!$C$7:$G$26,MATCH(LARGE(CadSet!$F$7:$F$26,Res!$A87),CadSet!$F$7:$F$26,0),1),"")</f>
        <v/>
      </c>
      <c r="C87" s="112" t="str">
        <f ca="1">IF($B87="","",IFERROR(COUNTIFS(tbLancamentos[Setor],$B87,tbLancamentos[Momento da falha],"&gt;="&amp;C$9,tbLancamentos[Momento da falha],"&lt;"&amp;D$9),0))</f>
        <v/>
      </c>
      <c r="D87" s="112" t="str">
        <f ca="1">IF($B87="","",IFERROR(COUNTIFS(tbLancamentos[Setor],$B87,tbLancamentos[Momento da falha],"&gt;="&amp;D$9,tbLancamentos[Momento da falha],"&lt;"&amp;E$9),0))</f>
        <v/>
      </c>
      <c r="E87" s="112" t="str">
        <f ca="1">IF($B87="","",IFERROR(COUNTIFS(tbLancamentos[Setor],$B87,tbLancamentos[Momento da falha],"&gt;="&amp;E$9,tbLancamentos[Momento da falha],"&lt;"&amp;F$9),0))</f>
        <v/>
      </c>
      <c r="F87" s="112" t="str">
        <f ca="1">IF($B87="","",IFERROR(COUNTIFS(tbLancamentos[Setor],$B87,tbLancamentos[Momento da falha],"&gt;="&amp;F$9,tbLancamentos[Momento da falha],"&lt;"&amp;G$9),0))</f>
        <v/>
      </c>
      <c r="G87" s="112" t="str">
        <f ca="1">IF($B87="","",IFERROR(COUNTIFS(tbLancamentos[Setor],$B87,tbLancamentos[Momento da falha],"&gt;="&amp;G$9,tbLancamentos[Momento da falha],"&lt;"&amp;H$9),0))</f>
        <v/>
      </c>
      <c r="H87" s="112" t="str">
        <f ca="1">IF($B87="","",IFERROR(COUNTIFS(tbLancamentos[Setor],$B87,tbLancamentos[Momento da falha],"&gt;="&amp;H$9,tbLancamentos[Momento da falha],"&lt;"&amp;I$9),0))</f>
        <v/>
      </c>
      <c r="I87" s="112" t="str">
        <f ca="1">IF($B87="","",IFERROR(COUNTIFS(tbLancamentos[Setor],$B87,tbLancamentos[Momento da falha],"&gt;="&amp;I$9,tbLancamentos[Momento da falha],"&lt;"&amp;J$9),0))</f>
        <v/>
      </c>
      <c r="J87" s="112" t="str">
        <f ca="1">IF($B87="","",IFERROR(COUNTIFS(tbLancamentos[Setor],$B87,tbLancamentos[Momento da falha],"&gt;="&amp;J$9,tbLancamentos[Momento da falha],"&lt;"&amp;K$9),0))</f>
        <v/>
      </c>
      <c r="K87" s="112" t="str">
        <f ca="1">IF($B87="","",IFERROR(COUNTIFS(tbLancamentos[Setor],$B87,tbLancamentos[Momento da falha],"&gt;="&amp;K$9,tbLancamentos[Momento da falha],"&lt;"&amp;L$9),0))</f>
        <v/>
      </c>
      <c r="L87" s="112" t="str">
        <f ca="1">IF($B87="","",IFERROR(COUNTIFS(tbLancamentos[Setor],$B87,tbLancamentos[Momento da falha],"&gt;="&amp;L$9,tbLancamentos[Momento da falha],"&lt;"&amp;M$9),0))</f>
        <v/>
      </c>
      <c r="M87" s="112" t="str">
        <f ca="1">IF($B87="","",IFERROR(COUNTIFS(tbLancamentos[Setor],$B87,tbLancamentos[Momento da falha],"&gt;="&amp;M$9,tbLancamentos[Momento da falha],"&lt;"&amp;N$9),0))</f>
        <v/>
      </c>
      <c r="N87" s="112" t="str">
        <f ca="1">IF($B87="","",IFERROR(COUNTIFS(tbLancamentos[Setor],$B87,tbLancamentos[Momento da falha],"&gt;="&amp;N$9,tbLancamentos[Momento da falha],"&lt;"&amp;O$9),0))</f>
        <v/>
      </c>
      <c r="O87" s="113" t="str">
        <f t="shared" ca="1" si="40"/>
        <v/>
      </c>
    </row>
    <row r="88" spans="1:15" ht="20.100000000000001" customHeight="1" x14ac:dyDescent="0.25">
      <c r="A88" s="10">
        <v>8</v>
      </c>
      <c r="B88" s="107" t="str">
        <f ca="1">IFERROR(INDEX(CadSet!$C$7:$G$26,MATCH(LARGE(CadSet!$F$7:$F$26,Res!$A88),CadSet!$F$7:$F$26,0),1),"")</f>
        <v/>
      </c>
      <c r="C88" s="112" t="str">
        <f ca="1">IF($B88="","",IFERROR(COUNTIFS(tbLancamentos[Setor],$B88,tbLancamentos[Momento da falha],"&gt;="&amp;C$9,tbLancamentos[Momento da falha],"&lt;"&amp;D$9),0))</f>
        <v/>
      </c>
      <c r="D88" s="112" t="str">
        <f ca="1">IF($B88="","",IFERROR(COUNTIFS(tbLancamentos[Setor],$B88,tbLancamentos[Momento da falha],"&gt;="&amp;D$9,tbLancamentos[Momento da falha],"&lt;"&amp;E$9),0))</f>
        <v/>
      </c>
      <c r="E88" s="112" t="str">
        <f ca="1">IF($B88="","",IFERROR(COUNTIFS(tbLancamentos[Setor],$B88,tbLancamentos[Momento da falha],"&gt;="&amp;E$9,tbLancamentos[Momento da falha],"&lt;"&amp;F$9),0))</f>
        <v/>
      </c>
      <c r="F88" s="112" t="str">
        <f ca="1">IF($B88="","",IFERROR(COUNTIFS(tbLancamentos[Setor],$B88,tbLancamentos[Momento da falha],"&gt;="&amp;F$9,tbLancamentos[Momento da falha],"&lt;"&amp;G$9),0))</f>
        <v/>
      </c>
      <c r="G88" s="112" t="str">
        <f ca="1">IF($B88="","",IFERROR(COUNTIFS(tbLancamentos[Setor],$B88,tbLancamentos[Momento da falha],"&gt;="&amp;G$9,tbLancamentos[Momento da falha],"&lt;"&amp;H$9),0))</f>
        <v/>
      </c>
      <c r="H88" s="112" t="str">
        <f ca="1">IF($B88="","",IFERROR(COUNTIFS(tbLancamentos[Setor],$B88,tbLancamentos[Momento da falha],"&gt;="&amp;H$9,tbLancamentos[Momento da falha],"&lt;"&amp;I$9),0))</f>
        <v/>
      </c>
      <c r="I88" s="112" t="str">
        <f ca="1">IF($B88="","",IFERROR(COUNTIFS(tbLancamentos[Setor],$B88,tbLancamentos[Momento da falha],"&gt;="&amp;I$9,tbLancamentos[Momento da falha],"&lt;"&amp;J$9),0))</f>
        <v/>
      </c>
      <c r="J88" s="112" t="str">
        <f ca="1">IF($B88="","",IFERROR(COUNTIFS(tbLancamentos[Setor],$B88,tbLancamentos[Momento da falha],"&gt;="&amp;J$9,tbLancamentos[Momento da falha],"&lt;"&amp;K$9),0))</f>
        <v/>
      </c>
      <c r="K88" s="112" t="str">
        <f ca="1">IF($B88="","",IFERROR(COUNTIFS(tbLancamentos[Setor],$B88,tbLancamentos[Momento da falha],"&gt;="&amp;K$9,tbLancamentos[Momento da falha],"&lt;"&amp;L$9),0))</f>
        <v/>
      </c>
      <c r="L88" s="112" t="str">
        <f ca="1">IF($B88="","",IFERROR(COUNTIFS(tbLancamentos[Setor],$B88,tbLancamentos[Momento da falha],"&gt;="&amp;L$9,tbLancamentos[Momento da falha],"&lt;"&amp;M$9),0))</f>
        <v/>
      </c>
      <c r="M88" s="112" t="str">
        <f ca="1">IF($B88="","",IFERROR(COUNTIFS(tbLancamentos[Setor],$B88,tbLancamentos[Momento da falha],"&gt;="&amp;M$9,tbLancamentos[Momento da falha],"&lt;"&amp;N$9),0))</f>
        <v/>
      </c>
      <c r="N88" s="112" t="str">
        <f ca="1">IF($B88="","",IFERROR(COUNTIFS(tbLancamentos[Setor],$B88,tbLancamentos[Momento da falha],"&gt;="&amp;N$9,tbLancamentos[Momento da falha],"&lt;"&amp;O$9),0))</f>
        <v/>
      </c>
      <c r="O88" s="113" t="str">
        <f t="shared" ca="1" si="40"/>
        <v/>
      </c>
    </row>
    <row r="89" spans="1:15" ht="20.100000000000001" customHeight="1" x14ac:dyDescent="0.25">
      <c r="A89" s="10">
        <v>9</v>
      </c>
      <c r="B89" s="107" t="str">
        <f ca="1">IFERROR(INDEX(CadSet!$C$7:$G$26,MATCH(LARGE(CadSet!$F$7:$F$26,Res!$A89),CadSet!$F$7:$F$26,0),1),"")</f>
        <v/>
      </c>
      <c r="C89" s="112" t="str">
        <f ca="1">IF($B89="","",IFERROR(COUNTIFS(tbLancamentos[Setor],$B89,tbLancamentos[Momento da falha],"&gt;="&amp;C$9,tbLancamentos[Momento da falha],"&lt;"&amp;D$9),0))</f>
        <v/>
      </c>
      <c r="D89" s="112" t="str">
        <f ca="1">IF($B89="","",IFERROR(COUNTIFS(tbLancamentos[Setor],$B89,tbLancamentos[Momento da falha],"&gt;="&amp;D$9,tbLancamentos[Momento da falha],"&lt;"&amp;E$9),0))</f>
        <v/>
      </c>
      <c r="E89" s="112" t="str">
        <f ca="1">IF($B89="","",IFERROR(COUNTIFS(tbLancamentos[Setor],$B89,tbLancamentos[Momento da falha],"&gt;="&amp;E$9,tbLancamentos[Momento da falha],"&lt;"&amp;F$9),0))</f>
        <v/>
      </c>
      <c r="F89" s="112" t="str">
        <f ca="1">IF($B89="","",IFERROR(COUNTIFS(tbLancamentos[Setor],$B89,tbLancamentos[Momento da falha],"&gt;="&amp;F$9,tbLancamentos[Momento da falha],"&lt;"&amp;G$9),0))</f>
        <v/>
      </c>
      <c r="G89" s="112" t="str">
        <f ca="1">IF($B89="","",IFERROR(COUNTIFS(tbLancamentos[Setor],$B89,tbLancamentos[Momento da falha],"&gt;="&amp;G$9,tbLancamentos[Momento da falha],"&lt;"&amp;H$9),0))</f>
        <v/>
      </c>
      <c r="H89" s="112" t="str">
        <f ca="1">IF($B89="","",IFERROR(COUNTIFS(tbLancamentos[Setor],$B89,tbLancamentos[Momento da falha],"&gt;="&amp;H$9,tbLancamentos[Momento da falha],"&lt;"&amp;I$9),0))</f>
        <v/>
      </c>
      <c r="I89" s="112" t="str">
        <f ca="1">IF($B89="","",IFERROR(COUNTIFS(tbLancamentos[Setor],$B89,tbLancamentos[Momento da falha],"&gt;="&amp;I$9,tbLancamentos[Momento da falha],"&lt;"&amp;J$9),0))</f>
        <v/>
      </c>
      <c r="J89" s="112" t="str">
        <f ca="1">IF($B89="","",IFERROR(COUNTIFS(tbLancamentos[Setor],$B89,tbLancamentos[Momento da falha],"&gt;="&amp;J$9,tbLancamentos[Momento da falha],"&lt;"&amp;K$9),0))</f>
        <v/>
      </c>
      <c r="K89" s="112" t="str">
        <f ca="1">IF($B89="","",IFERROR(COUNTIFS(tbLancamentos[Setor],$B89,tbLancamentos[Momento da falha],"&gt;="&amp;K$9,tbLancamentos[Momento da falha],"&lt;"&amp;L$9),0))</f>
        <v/>
      </c>
      <c r="L89" s="112" t="str">
        <f ca="1">IF($B89="","",IFERROR(COUNTIFS(tbLancamentos[Setor],$B89,tbLancamentos[Momento da falha],"&gt;="&amp;L$9,tbLancamentos[Momento da falha],"&lt;"&amp;M$9),0))</f>
        <v/>
      </c>
      <c r="M89" s="112" t="str">
        <f ca="1">IF($B89="","",IFERROR(COUNTIFS(tbLancamentos[Setor],$B89,tbLancamentos[Momento da falha],"&gt;="&amp;M$9,tbLancamentos[Momento da falha],"&lt;"&amp;N$9),0))</f>
        <v/>
      </c>
      <c r="N89" s="112" t="str">
        <f ca="1">IF($B89="","",IFERROR(COUNTIFS(tbLancamentos[Setor],$B89,tbLancamentos[Momento da falha],"&gt;="&amp;N$9,tbLancamentos[Momento da falha],"&lt;"&amp;O$9),0))</f>
        <v/>
      </c>
      <c r="O89" s="113" t="str">
        <f t="shared" ca="1" si="40"/>
        <v/>
      </c>
    </row>
    <row r="90" spans="1:15" ht="20.100000000000001" customHeight="1" x14ac:dyDescent="0.25">
      <c r="A90" s="10">
        <v>10</v>
      </c>
      <c r="B90" s="107" t="str">
        <f ca="1">IFERROR(INDEX(CadSet!$C$7:$G$26,MATCH(LARGE(CadSet!$F$7:$F$26,Res!$A90),CadSet!$F$7:$F$26,0),1),"")</f>
        <v/>
      </c>
      <c r="C90" s="112" t="str">
        <f ca="1">IF($B90="","",IFERROR(COUNTIFS(tbLancamentos[Setor],$B90,tbLancamentos[Momento da falha],"&gt;="&amp;C$9,tbLancamentos[Momento da falha],"&lt;"&amp;D$9),0))</f>
        <v/>
      </c>
      <c r="D90" s="112" t="str">
        <f ca="1">IF($B90="","",IFERROR(COUNTIFS(tbLancamentos[Setor],$B90,tbLancamentos[Momento da falha],"&gt;="&amp;D$9,tbLancamentos[Momento da falha],"&lt;"&amp;E$9),0))</f>
        <v/>
      </c>
      <c r="E90" s="112" t="str">
        <f ca="1">IF($B90="","",IFERROR(COUNTIFS(tbLancamentos[Setor],$B90,tbLancamentos[Momento da falha],"&gt;="&amp;E$9,tbLancamentos[Momento da falha],"&lt;"&amp;F$9),0))</f>
        <v/>
      </c>
      <c r="F90" s="112" t="str">
        <f ca="1">IF($B90="","",IFERROR(COUNTIFS(tbLancamentos[Setor],$B90,tbLancamentos[Momento da falha],"&gt;="&amp;F$9,tbLancamentos[Momento da falha],"&lt;"&amp;G$9),0))</f>
        <v/>
      </c>
      <c r="G90" s="112" t="str">
        <f ca="1">IF($B90="","",IFERROR(COUNTIFS(tbLancamentos[Setor],$B90,tbLancamentos[Momento da falha],"&gt;="&amp;G$9,tbLancamentos[Momento da falha],"&lt;"&amp;H$9),0))</f>
        <v/>
      </c>
      <c r="H90" s="112" t="str">
        <f ca="1">IF($B90="","",IFERROR(COUNTIFS(tbLancamentos[Setor],$B90,tbLancamentos[Momento da falha],"&gt;="&amp;H$9,tbLancamentos[Momento da falha],"&lt;"&amp;I$9),0))</f>
        <v/>
      </c>
      <c r="I90" s="112" t="str">
        <f ca="1">IF($B90="","",IFERROR(COUNTIFS(tbLancamentos[Setor],$B90,tbLancamentos[Momento da falha],"&gt;="&amp;I$9,tbLancamentos[Momento da falha],"&lt;"&amp;J$9),0))</f>
        <v/>
      </c>
      <c r="J90" s="112" t="str">
        <f ca="1">IF($B90="","",IFERROR(COUNTIFS(tbLancamentos[Setor],$B90,tbLancamentos[Momento da falha],"&gt;="&amp;J$9,tbLancamentos[Momento da falha],"&lt;"&amp;K$9),0))</f>
        <v/>
      </c>
      <c r="K90" s="112" t="str">
        <f ca="1">IF($B90="","",IFERROR(COUNTIFS(tbLancamentos[Setor],$B90,tbLancamentos[Momento da falha],"&gt;="&amp;K$9,tbLancamentos[Momento da falha],"&lt;"&amp;L$9),0))</f>
        <v/>
      </c>
      <c r="L90" s="112" t="str">
        <f ca="1">IF($B90="","",IFERROR(COUNTIFS(tbLancamentos[Setor],$B90,tbLancamentos[Momento da falha],"&gt;="&amp;L$9,tbLancamentos[Momento da falha],"&lt;"&amp;M$9),0))</f>
        <v/>
      </c>
      <c r="M90" s="112" t="str">
        <f ca="1">IF($B90="","",IFERROR(COUNTIFS(tbLancamentos[Setor],$B90,tbLancamentos[Momento da falha],"&gt;="&amp;M$9,tbLancamentos[Momento da falha],"&lt;"&amp;N$9),0))</f>
        <v/>
      </c>
      <c r="N90" s="112" t="str">
        <f ca="1">IF($B90="","",IFERROR(COUNTIFS(tbLancamentos[Setor],$B90,tbLancamentos[Momento da falha],"&gt;="&amp;N$9,tbLancamentos[Momento da falha],"&lt;"&amp;O$9),0))</f>
        <v/>
      </c>
      <c r="O90" s="113" t="str">
        <f t="shared" ca="1" si="40"/>
        <v/>
      </c>
    </row>
    <row r="91" spans="1:15" ht="20.100000000000001" customHeight="1" x14ac:dyDescent="0.25">
      <c r="B91" s="110" t="s">
        <v>51</v>
      </c>
      <c r="C91" s="113">
        <f ca="1">SUM(C81:C90)</f>
        <v>1</v>
      </c>
      <c r="D91" s="113">
        <f t="shared" ref="D91:N91" ca="1" si="41">SUM(D81:D90)</f>
        <v>0</v>
      </c>
      <c r="E91" s="113">
        <f t="shared" ca="1" si="41"/>
        <v>0</v>
      </c>
      <c r="F91" s="113">
        <f t="shared" ca="1" si="41"/>
        <v>0</v>
      </c>
      <c r="G91" s="113">
        <f t="shared" ca="1" si="41"/>
        <v>0</v>
      </c>
      <c r="H91" s="113">
        <f t="shared" ca="1" si="41"/>
        <v>0</v>
      </c>
      <c r="I91" s="113">
        <f t="shared" ca="1" si="41"/>
        <v>0</v>
      </c>
      <c r="J91" s="113">
        <f t="shared" ca="1" si="41"/>
        <v>0</v>
      </c>
      <c r="K91" s="113">
        <f t="shared" ca="1" si="41"/>
        <v>0</v>
      </c>
      <c r="L91" s="113">
        <f t="shared" ca="1" si="41"/>
        <v>0</v>
      </c>
      <c r="M91" s="113">
        <f t="shared" ca="1" si="41"/>
        <v>0</v>
      </c>
      <c r="N91" s="113">
        <f t="shared" ca="1" si="41"/>
        <v>0</v>
      </c>
      <c r="O91" s="111"/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4"/>
  <sheetViews>
    <sheetView showGridLines="0" workbookViewId="0"/>
  </sheetViews>
  <sheetFormatPr defaultRowHeight="15" x14ac:dyDescent="0.25"/>
  <cols>
    <col min="1" max="1" width="2.7109375" style="7" customWidth="1"/>
    <col min="2" max="16384" width="9.140625" style="7"/>
  </cols>
  <sheetData>
    <row r="1" spans="2:3" s="3" customFormat="1" ht="30" customHeight="1" x14ac:dyDescent="0.25"/>
    <row r="2" spans="2:3" s="4" customFormat="1" ht="24.95" customHeight="1" x14ac:dyDescent="0.25"/>
    <row r="3" spans="2:3" s="5" customFormat="1" ht="20.100000000000001" customHeight="1" x14ac:dyDescent="0.25"/>
    <row r="4" spans="2:3" ht="21" x14ac:dyDescent="0.35">
      <c r="B4" s="68" t="s">
        <v>37</v>
      </c>
    </row>
    <row r="6" spans="2:3" x14ac:dyDescent="0.25">
      <c r="B6" s="115" t="s">
        <v>67</v>
      </c>
      <c r="C6" s="116">
        <f>Res!$C$6</f>
        <v>2022</v>
      </c>
    </row>
    <row r="8" spans="2:3" ht="15.75" x14ac:dyDescent="0.25">
      <c r="B8" s="117" t="s">
        <v>55</v>
      </c>
    </row>
    <row r="39" spans="2:2" ht="15.75" x14ac:dyDescent="0.25">
      <c r="B39" s="117" t="s">
        <v>57</v>
      </c>
    </row>
    <row r="71" spans="2:2" ht="15.75" x14ac:dyDescent="0.25">
      <c r="B71" s="117" t="s">
        <v>59</v>
      </c>
    </row>
    <row r="102" spans="2:2" ht="15.75" x14ac:dyDescent="0.25">
      <c r="B102" s="117" t="s">
        <v>58</v>
      </c>
    </row>
    <row r="133" spans="2:2" ht="15.75" x14ac:dyDescent="0.25">
      <c r="B133" s="117" t="s">
        <v>110</v>
      </c>
    </row>
    <row r="164" spans="2:2" ht="15.75" x14ac:dyDescent="0.25">
      <c r="B164" s="117" t="s">
        <v>111</v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H510"/>
  <sheetViews>
    <sheetView showGridLines="0" zoomScaleNormal="100" workbookViewId="0">
      <selection activeCell="G9" sqref="G9"/>
    </sheetView>
  </sheetViews>
  <sheetFormatPr defaultRowHeight="15" x14ac:dyDescent="0.25"/>
  <cols>
    <col min="1" max="1" width="2.7109375" style="7" customWidth="1"/>
    <col min="2" max="2" width="5.7109375" style="7" customWidth="1"/>
    <col min="3" max="3" width="29.7109375" style="7" bestFit="1" customWidth="1"/>
    <col min="4" max="9" width="17.7109375" style="7" customWidth="1"/>
    <col min="10" max="10" width="9.140625" style="7"/>
    <col min="11" max="28" width="9.140625" style="7" customWidth="1"/>
    <col min="29" max="29" width="6.28515625" style="7" hidden="1" customWidth="1"/>
    <col min="30" max="30" width="10.42578125" style="7" hidden="1" customWidth="1"/>
    <col min="31" max="32" width="15.85546875" style="7" hidden="1" customWidth="1"/>
    <col min="33" max="33" width="10.7109375" style="7" hidden="1" customWidth="1"/>
    <col min="34" max="34" width="0" style="7" hidden="1" customWidth="1"/>
    <col min="35" max="16384" width="9.140625" style="7"/>
  </cols>
  <sheetData>
    <row r="1" spans="2:34" s="3" customFormat="1" ht="30" customHeight="1" x14ac:dyDescent="0.25"/>
    <row r="2" spans="2:34" s="4" customFormat="1" ht="24.95" customHeight="1" x14ac:dyDescent="0.25"/>
    <row r="3" spans="2:34" s="5" customFormat="1" ht="20.100000000000001" customHeight="1" x14ac:dyDescent="0.25"/>
    <row r="4" spans="2:34" ht="21" x14ac:dyDescent="0.35">
      <c r="B4" s="68" t="s">
        <v>37</v>
      </c>
    </row>
    <row r="5" spans="2:34" x14ac:dyDescent="0.25">
      <c r="B5" s="30"/>
      <c r="C5" s="30"/>
      <c r="D5" s="30"/>
      <c r="E5" s="30"/>
      <c r="AC5" s="71" t="s">
        <v>62</v>
      </c>
      <c r="AD5" s="71" t="s">
        <v>61</v>
      </c>
      <c r="AE5" s="71" t="s">
        <v>63</v>
      </c>
      <c r="AF5" s="71" t="s">
        <v>64</v>
      </c>
      <c r="AG5" s="70" t="s">
        <v>65</v>
      </c>
      <c r="AH5" s="118">
        <v>0</v>
      </c>
    </row>
    <row r="6" spans="2:34" ht="20.100000000000001" customHeight="1" x14ac:dyDescent="0.25">
      <c r="B6" s="30"/>
      <c r="C6" s="119" t="s">
        <v>60</v>
      </c>
      <c r="D6" s="128" t="s">
        <v>39</v>
      </c>
      <c r="E6" s="30"/>
      <c r="F6" s="115" t="s">
        <v>67</v>
      </c>
      <c r="G6" s="116">
        <f ca="1">IF(Res!$C$6="",YEAR(TODAY()),Res!$C$6)</f>
        <v>2022</v>
      </c>
      <c r="H6" s="120"/>
      <c r="AC6" s="71">
        <v>1</v>
      </c>
      <c r="AD6" s="71" t="s">
        <v>39</v>
      </c>
      <c r="AE6" s="121">
        <f t="shared" ref="AE6:AE17" ca="1" si="0">DATE($G$6,AC6,1)+$AH$5</f>
        <v>44562</v>
      </c>
      <c r="AF6" s="121">
        <f ca="1">EOMONTH(AE6,0)+$AH$6</f>
        <v>44592.999988425923</v>
      </c>
      <c r="AG6" s="70" t="s">
        <v>66</v>
      </c>
      <c r="AH6" s="118">
        <v>0.99998842592592585</v>
      </c>
    </row>
    <row r="7" spans="2:34" hidden="1" x14ac:dyDescent="0.25">
      <c r="B7" s="30"/>
      <c r="C7" s="122">
        <f ca="1">VLOOKUP($D$6,$AD$6:$AF$17,2,FALSE)</f>
        <v>44562</v>
      </c>
      <c r="D7" s="122">
        <f ca="1">VLOOKUP($D$6,$AD$6:$AF$17,3,FALSE)</f>
        <v>44592.999988425923</v>
      </c>
      <c r="E7" s="123">
        <f ca="1">D7-C7</f>
        <v>30.99998842592322</v>
      </c>
      <c r="AC7" s="71">
        <v>2</v>
      </c>
      <c r="AD7" s="71" t="s">
        <v>40</v>
      </c>
      <c r="AE7" s="121">
        <f t="shared" ca="1" si="0"/>
        <v>44593</v>
      </c>
      <c r="AF7" s="121">
        <f t="shared" ref="AF7:AF17" ca="1" si="1">EOMONTH(AE7,0)+$AH$6</f>
        <v>44620.999988425923</v>
      </c>
      <c r="AH7" s="124"/>
    </row>
    <row r="8" spans="2:34" x14ac:dyDescent="0.25">
      <c r="B8" s="30"/>
      <c r="C8" s="30"/>
      <c r="D8" s="30"/>
      <c r="E8" s="30"/>
      <c r="AC8" s="71">
        <v>3</v>
      </c>
      <c r="AD8" s="71" t="s">
        <v>41</v>
      </c>
      <c r="AE8" s="121">
        <f t="shared" ca="1" si="0"/>
        <v>44621</v>
      </c>
      <c r="AF8" s="121">
        <f t="shared" ca="1" si="1"/>
        <v>44651.999988425923</v>
      </c>
      <c r="AH8" s="124"/>
    </row>
    <row r="9" spans="2:34" ht="20.100000000000001" customHeight="1" x14ac:dyDescent="0.25">
      <c r="B9" s="103" t="s">
        <v>73</v>
      </c>
      <c r="C9" s="125"/>
      <c r="D9" s="125"/>
      <c r="E9" s="125"/>
      <c r="F9" s="125"/>
      <c r="G9" s="125"/>
      <c r="H9" s="125"/>
      <c r="I9" s="125"/>
      <c r="AC9" s="71">
        <v>4</v>
      </c>
      <c r="AD9" s="71" t="s">
        <v>42</v>
      </c>
      <c r="AE9" s="121">
        <f t="shared" ca="1" si="0"/>
        <v>44652</v>
      </c>
      <c r="AF9" s="121">
        <f t="shared" ca="1" si="1"/>
        <v>44681.999988425923</v>
      </c>
      <c r="AG9" s="124"/>
      <c r="AH9" s="124"/>
    </row>
    <row r="10" spans="2:34" ht="30" x14ac:dyDescent="0.25">
      <c r="B10" s="126" t="s">
        <v>17</v>
      </c>
      <c r="C10" s="126" t="s">
        <v>26</v>
      </c>
      <c r="D10" s="126" t="s">
        <v>68</v>
      </c>
      <c r="E10" s="126" t="s">
        <v>69</v>
      </c>
      <c r="F10" s="126" t="s">
        <v>70</v>
      </c>
      <c r="G10" s="126" t="s">
        <v>71</v>
      </c>
      <c r="H10" s="126" t="s">
        <v>72</v>
      </c>
      <c r="I10" s="126" t="s">
        <v>27</v>
      </c>
      <c r="AC10" s="71">
        <v>5</v>
      </c>
      <c r="AD10" s="71" t="s">
        <v>43</v>
      </c>
      <c r="AE10" s="121">
        <f t="shared" ca="1" si="0"/>
        <v>44682</v>
      </c>
      <c r="AF10" s="121">
        <f t="shared" ca="1" si="1"/>
        <v>44712.999988425923</v>
      </c>
      <c r="AG10" s="124"/>
      <c r="AH10" s="124"/>
    </row>
    <row r="11" spans="2:34" ht="20.100000000000001" customHeight="1" x14ac:dyDescent="0.25">
      <c r="B11" s="94">
        <f>CadEqu!B7</f>
        <v>1</v>
      </c>
      <c r="C11" s="94" t="str">
        <f>IF(CadEqu!F7="","",CadEqu!F7)</f>
        <v>Administrativo - Câmera 1</v>
      </c>
      <c r="D11" s="97">
        <f ca="1">IF(C11="","",IFERROR(IF(SUMIFS(tbLancamentos[Tempo indisponível],tbLancamentos[Equipamento],$C11,tbLancamentos[Momento da falha],"&gt;="&amp;$C$7,tbLancamentos[Momento da falha],"&lt;="&amp;$D$7)&gt;$E$7,$E$7,SUMIFS(tbLancamentos[Tempo indisponível],tbLancamentos[Equipamento],$C11,tbLancamentos[Momento da falha],"&gt;="&amp;$C$7,tbLancamentos[Momento da falha],"&lt;="&amp;$D$7)),""))</f>
        <v>0.26380345476354705</v>
      </c>
      <c r="E11" s="97">
        <f ca="1">IF(C11="","",IFERROR(SUMIFS(tbLancamentos[Meta tempo reparo],tbLancamentos[Equipamento],$C11,tbLancamentos[Momento da falha],"&gt;="&amp;$C$7,tbLancamentos[Momento da falha],"&lt;="&amp;$D$7),""))</f>
        <v>0.20833333333333334</v>
      </c>
      <c r="F11" s="97">
        <f ca="1">IF(C11="","",IFERROR(SUMIFS(tbLancamentos[Tempo devido],tbLancamentos[Equipamento],$C11,tbLancamentos[Momento da falha],"&gt;="&amp;$C$7,tbLancamentos[Momento da falha],"&lt;="&amp;$D$7),""))</f>
        <v>5.5470121430213709E-2</v>
      </c>
      <c r="G11" s="97">
        <f ca="1"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>30.736184971159673</v>
      </c>
      <c r="H11" s="97">
        <f ca="1"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>0.26380345476354705</v>
      </c>
      <c r="I11" s="127">
        <f t="shared" ref="I11:I74" ca="1" si="2">IF(C11="","",($E$7-(D11-E11))/$E$7)</f>
        <v>0.99821064057611619</v>
      </c>
      <c r="AC11" s="71">
        <v>6</v>
      </c>
      <c r="AD11" s="71" t="s">
        <v>44</v>
      </c>
      <c r="AE11" s="121">
        <f t="shared" ca="1" si="0"/>
        <v>44713</v>
      </c>
      <c r="AF11" s="121">
        <f t="shared" ca="1" si="1"/>
        <v>44742.999988425923</v>
      </c>
      <c r="AG11" s="124"/>
      <c r="AH11" s="124"/>
    </row>
    <row r="12" spans="2:34" ht="20.100000000000001" customHeight="1" x14ac:dyDescent="0.25">
      <c r="B12" s="94">
        <f>CadEqu!B8</f>
        <v>2</v>
      </c>
      <c r="C12" s="94" t="str">
        <f>IF(CadEqu!F8="","",CadEqu!F8)</f>
        <v>Administrativo - Sensor 1</v>
      </c>
      <c r="D12" s="97">
        <f ca="1">IF(C12="","",IFERROR(IF(SUMIFS(tbLancamentos[Tempo indisponível],tbLancamentos[Equipamento],$C12,tbLancamentos[Momento da falha],"&gt;="&amp;$C$7,tbLancamentos[Momento da falha],"&lt;="&amp;$D$7)&gt;$E$7,$E$7,SUMIFS(tbLancamentos[Tempo indisponível],tbLancamentos[Equipamento],$C12,tbLancamentos[Momento da falha],"&gt;="&amp;$C$7,tbLancamentos[Momento da falha],"&lt;="&amp;$D$7)),""))</f>
        <v>0</v>
      </c>
      <c r="E12" s="97">
        <f ca="1">IF(C12="","",IFERROR(SUMIFS(tbLancamentos[Meta tempo reparo],tbLancamentos[Equipamento],$C12,tbLancamentos[Momento da falha],"&gt;="&amp;$C$7,tbLancamentos[Momento da falha],"&lt;="&amp;$D$7),""))</f>
        <v>0</v>
      </c>
      <c r="F12" s="97">
        <f ca="1">IF(C12="","",IFERROR(SUMIFS(tbLancamentos[Tempo devido],tbLancamentos[Equipamento],$C12,tbLancamentos[Momento da falha],"&gt;="&amp;$C$7,tbLancamentos[Momento da falha],"&lt;="&amp;$D$7),""))</f>
        <v>0</v>
      </c>
      <c r="G12" s="97">
        <f ca="1"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>0</v>
      </c>
      <c r="H12" s="97">
        <f ca="1"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>0</v>
      </c>
      <c r="I12" s="127">
        <f t="shared" ca="1" si="2"/>
        <v>1</v>
      </c>
      <c r="AC12" s="71">
        <v>7</v>
      </c>
      <c r="AD12" s="71" t="s">
        <v>45</v>
      </c>
      <c r="AE12" s="121">
        <f t="shared" ca="1" si="0"/>
        <v>44743</v>
      </c>
      <c r="AF12" s="121">
        <f t="shared" ca="1" si="1"/>
        <v>44773.999988425923</v>
      </c>
      <c r="AG12" s="124"/>
      <c r="AH12" s="124"/>
    </row>
    <row r="13" spans="2:34" ht="20.100000000000001" customHeight="1" x14ac:dyDescent="0.25">
      <c r="B13" s="94">
        <f>CadEqu!B9</f>
        <v>3</v>
      </c>
      <c r="C13" s="94" t="str">
        <f>IF(CadEqu!F9="","",CadEqu!F9)</f>
        <v>Administrativo - Central de alarme 1</v>
      </c>
      <c r="D13" s="97">
        <f ca="1">IF(C13="","",IFERROR(IF(SUMIFS(tbLancamentos[Tempo indisponível],tbLancamentos[Equipamento],$C13,tbLancamentos[Momento da falha],"&gt;="&amp;$C$7,tbLancamentos[Momento da falha],"&lt;="&amp;$D$7)&gt;$E$7,$E$7,SUMIFS(tbLancamentos[Tempo indisponível],tbLancamentos[Equipamento],$C13,tbLancamentos[Momento da falha],"&gt;="&amp;$C$7,tbLancamentos[Momento da falha],"&lt;="&amp;$D$7)),""))</f>
        <v>0</v>
      </c>
      <c r="E13" s="97">
        <f ca="1">IF(C13="","",IFERROR(SUMIFS(tbLancamentos[Meta tempo reparo],tbLancamentos[Equipamento],$C13,tbLancamentos[Momento da falha],"&gt;="&amp;$C$7,tbLancamentos[Momento da falha],"&lt;="&amp;$D$7),""))</f>
        <v>0</v>
      </c>
      <c r="F13" s="97">
        <f ca="1">IF(C13="","",IFERROR(SUMIFS(tbLancamentos[Tempo devido],tbLancamentos[Equipamento],$C13,tbLancamentos[Momento da falha],"&gt;="&amp;$C$7,tbLancamentos[Momento da falha],"&lt;="&amp;$D$7),""))</f>
        <v>0</v>
      </c>
      <c r="G13" s="97">
        <f ca="1"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>0</v>
      </c>
      <c r="H13" s="97">
        <f ca="1"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>0</v>
      </c>
      <c r="I13" s="127">
        <f t="shared" ca="1" si="2"/>
        <v>1</v>
      </c>
      <c r="AC13" s="71">
        <v>8</v>
      </c>
      <c r="AD13" s="71" t="s">
        <v>46</v>
      </c>
      <c r="AE13" s="121">
        <f t="shared" ca="1" si="0"/>
        <v>44774</v>
      </c>
      <c r="AF13" s="121">
        <f t="shared" ca="1" si="1"/>
        <v>44804.999988425923</v>
      </c>
      <c r="AG13" s="124"/>
      <c r="AH13" s="124"/>
    </row>
    <row r="14" spans="2:34" ht="20.100000000000001" customHeight="1" x14ac:dyDescent="0.25">
      <c r="B14" s="94">
        <f>CadEqu!B10</f>
        <v>4</v>
      </c>
      <c r="C14" s="94" t="str">
        <f>IF(CadEqu!F10="","",CadEqu!F10)</f>
        <v>Administrativo - Servidor 1</v>
      </c>
      <c r="D14" s="97">
        <f ca="1">IF(C14="","",IFERROR(IF(SUMIFS(tbLancamentos[Tempo indisponível],tbLancamentos[Equipamento],$C14,tbLancamentos[Momento da falha],"&gt;="&amp;$C$7,tbLancamentos[Momento da falha],"&lt;="&amp;$D$7)&gt;$E$7,$E$7,SUMIFS(tbLancamentos[Tempo indisponível],tbLancamentos[Equipamento],$C14,tbLancamentos[Momento da falha],"&gt;="&amp;$C$7,tbLancamentos[Momento da falha],"&lt;="&amp;$D$7)),""))</f>
        <v>0</v>
      </c>
      <c r="E14" s="97">
        <f ca="1">IF(C14="","",IFERROR(SUMIFS(tbLancamentos[Meta tempo reparo],tbLancamentos[Equipamento],$C14,tbLancamentos[Momento da falha],"&gt;="&amp;$C$7,tbLancamentos[Momento da falha],"&lt;="&amp;$D$7),""))</f>
        <v>0</v>
      </c>
      <c r="F14" s="97">
        <f ca="1">IF(C14="","",IFERROR(SUMIFS(tbLancamentos[Tempo devido],tbLancamentos[Equipamento],$C14,tbLancamentos[Momento da falha],"&gt;="&amp;$C$7,tbLancamentos[Momento da falha],"&lt;="&amp;$D$7),""))</f>
        <v>0</v>
      </c>
      <c r="G14" s="97">
        <f ca="1"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>0</v>
      </c>
      <c r="H14" s="97">
        <f ca="1"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>0</v>
      </c>
      <c r="I14" s="127">
        <f t="shared" ca="1" si="2"/>
        <v>1</v>
      </c>
      <c r="AC14" s="71">
        <v>9</v>
      </c>
      <c r="AD14" s="71" t="s">
        <v>47</v>
      </c>
      <c r="AE14" s="121">
        <f t="shared" ca="1" si="0"/>
        <v>44805</v>
      </c>
      <c r="AF14" s="121">
        <f t="shared" ca="1" si="1"/>
        <v>44834.999988425923</v>
      </c>
      <c r="AG14" s="124"/>
      <c r="AH14" s="124"/>
    </row>
    <row r="15" spans="2:34" ht="20.100000000000001" customHeight="1" x14ac:dyDescent="0.25">
      <c r="B15" s="94">
        <f>CadEqu!B11</f>
        <v>5</v>
      </c>
      <c r="C15" s="94" t="str">
        <f>IF(CadEqu!F11="","",CadEqu!F11)</f>
        <v>Administrativo - DVR 1</v>
      </c>
      <c r="D15" s="97">
        <f ca="1">IF(C15="","",IFERROR(IF(SUMIFS(tbLancamentos[Tempo indisponível],tbLancamentos[Equipamento],$C15,tbLancamentos[Momento da falha],"&gt;="&amp;$C$7,tbLancamentos[Momento da falha],"&lt;="&amp;$D$7)&gt;$E$7,$E$7,SUMIFS(tbLancamentos[Tempo indisponível],tbLancamentos[Equipamento],$C15,tbLancamentos[Momento da falha],"&gt;="&amp;$C$7,tbLancamentos[Momento da falha],"&lt;="&amp;$D$7)),""))</f>
        <v>0</v>
      </c>
      <c r="E15" s="97">
        <f ca="1">IF(C15="","",IFERROR(SUMIFS(tbLancamentos[Meta tempo reparo],tbLancamentos[Equipamento],$C15,tbLancamentos[Momento da falha],"&gt;="&amp;$C$7,tbLancamentos[Momento da falha],"&lt;="&amp;$D$7),""))</f>
        <v>0</v>
      </c>
      <c r="F15" s="97">
        <f ca="1">IF(C15="","",IFERROR(SUMIFS(tbLancamentos[Tempo devido],tbLancamentos[Equipamento],$C15,tbLancamentos[Momento da falha],"&gt;="&amp;$C$7,tbLancamentos[Momento da falha],"&lt;="&amp;$D$7),""))</f>
        <v>0</v>
      </c>
      <c r="G15" s="97">
        <f ca="1"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>0</v>
      </c>
      <c r="H15" s="97">
        <f ca="1"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>0</v>
      </c>
      <c r="I15" s="127">
        <f t="shared" ca="1" si="2"/>
        <v>1</v>
      </c>
      <c r="AC15" s="71">
        <v>10</v>
      </c>
      <c r="AD15" s="71" t="s">
        <v>48</v>
      </c>
      <c r="AE15" s="121">
        <f t="shared" ca="1" si="0"/>
        <v>44835</v>
      </c>
      <c r="AF15" s="121">
        <f t="shared" ca="1" si="1"/>
        <v>44865.999988425923</v>
      </c>
      <c r="AG15" s="124"/>
      <c r="AH15" s="124"/>
    </row>
    <row r="16" spans="2:34" ht="20.100000000000001" customHeight="1" x14ac:dyDescent="0.25">
      <c r="B16" s="94">
        <f>CadEqu!B12</f>
        <v>6</v>
      </c>
      <c r="C16" s="94" t="str">
        <f>IF(CadEqu!F12="","",CadEqu!F12)</f>
        <v/>
      </c>
      <c r="D16" s="97" t="str">
        <f>IF(C16="","",IFERROR(IF(SUMIFS(tbLancamentos[Tempo indisponível],tbLancamentos[Equipamento],$C16,tbLancamentos[Momento da falha],"&gt;="&amp;$C$7,tbLancamentos[Momento da falha],"&lt;="&amp;$D$7)&gt;$E$7,$E$7,SUMIFS(tbLancamentos[Tempo indisponível],tbLancamentos[Equipamento],$C16,tbLancamentos[Momento da falha],"&gt;="&amp;$C$7,tbLancamentos[Momento da falha],"&lt;="&amp;$D$7)),""))</f>
        <v/>
      </c>
      <c r="E16" s="97" t="str">
        <f>IF(C16="","",IFERROR(SUMIFS(tbLancamentos[Meta tempo reparo],tbLancamentos[Equipamento],$C16,tbLancamentos[Momento da falha],"&gt;="&amp;$C$7,tbLancamentos[Momento da falha],"&lt;="&amp;$D$7),""))</f>
        <v/>
      </c>
      <c r="F16" s="97" t="str">
        <f>IF(C16="","",IFERROR(SUMIFS(tbLancamentos[Tempo devido],tbLancamentos[Equipamento],$C16,tbLancamentos[Momento da falha],"&gt;="&amp;$C$7,tbLancamentos[Momento da falha],"&lt;="&amp;$D$7),""))</f>
        <v/>
      </c>
      <c r="G1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" s="127" t="str">
        <f t="shared" si="2"/>
        <v/>
      </c>
      <c r="AC16" s="71">
        <v>11</v>
      </c>
      <c r="AD16" s="71" t="s">
        <v>49</v>
      </c>
      <c r="AE16" s="121">
        <f t="shared" ca="1" si="0"/>
        <v>44866</v>
      </c>
      <c r="AF16" s="121">
        <f t="shared" ca="1" si="1"/>
        <v>44895.999988425923</v>
      </c>
      <c r="AG16" s="124"/>
      <c r="AH16" s="124"/>
    </row>
    <row r="17" spans="2:34" ht="20.100000000000001" customHeight="1" x14ac:dyDescent="0.25">
      <c r="B17" s="94">
        <f>CadEqu!B13</f>
        <v>7</v>
      </c>
      <c r="C17" s="94" t="str">
        <f>IF(CadEqu!F13="","",CadEqu!F13)</f>
        <v/>
      </c>
      <c r="D17" s="97" t="str">
        <f>IF(C17="","",IFERROR(IF(SUMIFS(tbLancamentos[Tempo indisponível],tbLancamentos[Equipamento],$C17,tbLancamentos[Momento da falha],"&gt;="&amp;$C$7,tbLancamentos[Momento da falha],"&lt;="&amp;$D$7)&gt;$E$7,$E$7,SUMIFS(tbLancamentos[Tempo indisponível],tbLancamentos[Equipamento],$C17,tbLancamentos[Momento da falha],"&gt;="&amp;$C$7,tbLancamentos[Momento da falha],"&lt;="&amp;$D$7)),""))</f>
        <v/>
      </c>
      <c r="E17" s="97" t="str">
        <f>IF(C17="","",IFERROR(SUMIFS(tbLancamentos[Meta tempo reparo],tbLancamentos[Equipamento],$C17,tbLancamentos[Momento da falha],"&gt;="&amp;$C$7,tbLancamentos[Momento da falha],"&lt;="&amp;$D$7),""))</f>
        <v/>
      </c>
      <c r="F17" s="97" t="str">
        <f>IF(C17="","",IFERROR(SUMIFS(tbLancamentos[Tempo devido],tbLancamentos[Equipamento],$C17,tbLancamentos[Momento da falha],"&gt;="&amp;$C$7,tbLancamentos[Momento da falha],"&lt;="&amp;$D$7),""))</f>
        <v/>
      </c>
      <c r="G1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" s="127" t="str">
        <f t="shared" si="2"/>
        <v/>
      </c>
      <c r="AC17" s="71">
        <v>12</v>
      </c>
      <c r="AD17" s="71" t="s">
        <v>50</v>
      </c>
      <c r="AE17" s="121">
        <f t="shared" ca="1" si="0"/>
        <v>44896</v>
      </c>
      <c r="AF17" s="121">
        <f t="shared" ca="1" si="1"/>
        <v>44926.999988425923</v>
      </c>
      <c r="AG17" s="124"/>
      <c r="AH17" s="124"/>
    </row>
    <row r="18" spans="2:34" ht="20.100000000000001" customHeight="1" x14ac:dyDescent="0.25">
      <c r="B18" s="94">
        <f>CadEqu!B14</f>
        <v>8</v>
      </c>
      <c r="C18" s="94" t="str">
        <f>IF(CadEqu!F14="","",CadEqu!F14)</f>
        <v/>
      </c>
      <c r="D18" s="97" t="str">
        <f>IF(C18="","",IFERROR(IF(SUMIFS(tbLancamentos[Tempo indisponível],tbLancamentos[Equipamento],$C18,tbLancamentos[Momento da falha],"&gt;="&amp;$C$7,tbLancamentos[Momento da falha],"&lt;="&amp;$D$7)&gt;$E$7,$E$7,SUMIFS(tbLancamentos[Tempo indisponível],tbLancamentos[Equipamento],$C18,tbLancamentos[Momento da falha],"&gt;="&amp;$C$7,tbLancamentos[Momento da falha],"&lt;="&amp;$D$7)),""))</f>
        <v/>
      </c>
      <c r="E18" s="97" t="str">
        <f>IF(C18="","",IFERROR(SUMIFS(tbLancamentos[Meta tempo reparo],tbLancamentos[Equipamento],$C18,tbLancamentos[Momento da falha],"&gt;="&amp;$C$7,tbLancamentos[Momento da falha],"&lt;="&amp;$D$7),""))</f>
        <v/>
      </c>
      <c r="F18" s="97" t="str">
        <f>IF(C18="","",IFERROR(SUMIFS(tbLancamentos[Tempo devido],tbLancamentos[Equipamento],$C18,tbLancamentos[Momento da falha],"&gt;="&amp;$C$7,tbLancamentos[Momento da falha],"&lt;="&amp;$D$7),""))</f>
        <v/>
      </c>
      <c r="G1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" s="127" t="str">
        <f t="shared" si="2"/>
        <v/>
      </c>
    </row>
    <row r="19" spans="2:34" ht="20.100000000000001" customHeight="1" x14ac:dyDescent="0.25">
      <c r="B19" s="94">
        <f>CadEqu!B15</f>
        <v>9</v>
      </c>
      <c r="C19" s="94" t="str">
        <f>IF(CadEqu!F15="","",CadEqu!F15)</f>
        <v/>
      </c>
      <c r="D19" s="97" t="str">
        <f>IF(C19="","",IFERROR(IF(SUMIFS(tbLancamentos[Tempo indisponível],tbLancamentos[Equipamento],$C19,tbLancamentos[Momento da falha],"&gt;="&amp;$C$7,tbLancamentos[Momento da falha],"&lt;="&amp;$D$7)&gt;$E$7,$E$7,SUMIFS(tbLancamentos[Tempo indisponível],tbLancamentos[Equipamento],$C19,tbLancamentos[Momento da falha],"&gt;="&amp;$C$7,tbLancamentos[Momento da falha],"&lt;="&amp;$D$7)),""))</f>
        <v/>
      </c>
      <c r="E19" s="97" t="str">
        <f>IF(C19="","",IFERROR(SUMIFS(tbLancamentos[Meta tempo reparo],tbLancamentos[Equipamento],$C19,tbLancamentos[Momento da falha],"&gt;="&amp;$C$7,tbLancamentos[Momento da falha],"&lt;="&amp;$D$7),""))</f>
        <v/>
      </c>
      <c r="F19" s="97" t="str">
        <f>IF(C19="","",IFERROR(SUMIFS(tbLancamentos[Tempo devido],tbLancamentos[Equipamento],$C19,tbLancamentos[Momento da falha],"&gt;="&amp;$C$7,tbLancamentos[Momento da falha],"&lt;="&amp;$D$7),""))</f>
        <v/>
      </c>
      <c r="G1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" s="127" t="str">
        <f t="shared" si="2"/>
        <v/>
      </c>
    </row>
    <row r="20" spans="2:34" ht="20.100000000000001" customHeight="1" x14ac:dyDescent="0.25">
      <c r="B20" s="94">
        <f>CadEqu!B16</f>
        <v>10</v>
      </c>
      <c r="C20" s="94" t="str">
        <f>IF(CadEqu!F16="","",CadEqu!F16)</f>
        <v/>
      </c>
      <c r="D20" s="97" t="str">
        <f>IF(C20="","",IFERROR(IF(SUMIFS(tbLancamentos[Tempo indisponível],tbLancamentos[Equipamento],$C20,tbLancamentos[Momento da falha],"&gt;="&amp;$C$7,tbLancamentos[Momento da falha],"&lt;="&amp;$D$7)&gt;$E$7,$E$7,SUMIFS(tbLancamentos[Tempo indisponível],tbLancamentos[Equipamento],$C20,tbLancamentos[Momento da falha],"&gt;="&amp;$C$7,tbLancamentos[Momento da falha],"&lt;="&amp;$D$7)),""))</f>
        <v/>
      </c>
      <c r="E20" s="97" t="str">
        <f>IF(C20="","",IFERROR(SUMIFS(tbLancamentos[Meta tempo reparo],tbLancamentos[Equipamento],$C20,tbLancamentos[Momento da falha],"&gt;="&amp;$C$7,tbLancamentos[Momento da falha],"&lt;="&amp;$D$7),""))</f>
        <v/>
      </c>
      <c r="F20" s="97" t="str">
        <f>IF(C20="","",IFERROR(SUMIFS(tbLancamentos[Tempo devido],tbLancamentos[Equipamento],$C20,tbLancamentos[Momento da falha],"&gt;="&amp;$C$7,tbLancamentos[Momento da falha],"&lt;="&amp;$D$7),""))</f>
        <v/>
      </c>
      <c r="G2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" s="127" t="str">
        <f t="shared" si="2"/>
        <v/>
      </c>
    </row>
    <row r="21" spans="2:34" ht="20.100000000000001" customHeight="1" x14ac:dyDescent="0.25">
      <c r="B21" s="94">
        <f>CadEqu!B17</f>
        <v>11</v>
      </c>
      <c r="C21" s="94" t="str">
        <f>IF(CadEqu!F17="","",CadEqu!F17)</f>
        <v/>
      </c>
      <c r="D21" s="97" t="str">
        <f>IF(C21="","",IFERROR(IF(SUMIFS(tbLancamentos[Tempo indisponível],tbLancamentos[Equipamento],$C21,tbLancamentos[Momento da falha],"&gt;="&amp;$C$7,tbLancamentos[Momento da falha],"&lt;="&amp;$D$7)&gt;$E$7,$E$7,SUMIFS(tbLancamentos[Tempo indisponível],tbLancamentos[Equipamento],$C21,tbLancamentos[Momento da falha],"&gt;="&amp;$C$7,tbLancamentos[Momento da falha],"&lt;="&amp;$D$7)),""))</f>
        <v/>
      </c>
      <c r="E21" s="97" t="str">
        <f>IF(C21="","",IFERROR(SUMIFS(tbLancamentos[Meta tempo reparo],tbLancamentos[Equipamento],$C21,tbLancamentos[Momento da falha],"&gt;="&amp;$C$7,tbLancamentos[Momento da falha],"&lt;="&amp;$D$7),""))</f>
        <v/>
      </c>
      <c r="F21" s="97" t="str">
        <f>IF(C21="","",IFERROR(SUMIFS(tbLancamentos[Tempo devido],tbLancamentos[Equipamento],$C21,tbLancamentos[Momento da falha],"&gt;="&amp;$C$7,tbLancamentos[Momento da falha],"&lt;="&amp;$D$7),""))</f>
        <v/>
      </c>
      <c r="G2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" s="127" t="str">
        <f t="shared" si="2"/>
        <v/>
      </c>
    </row>
    <row r="22" spans="2:34" ht="20.100000000000001" customHeight="1" x14ac:dyDescent="0.25">
      <c r="B22" s="94">
        <f>CadEqu!B18</f>
        <v>12</v>
      </c>
      <c r="C22" s="94" t="str">
        <f>IF(CadEqu!F18="","",CadEqu!F18)</f>
        <v/>
      </c>
      <c r="D22" s="97" t="str">
        <f>IF(C22="","",IFERROR(IF(SUMIFS(tbLancamentos[Tempo indisponível],tbLancamentos[Equipamento],$C22,tbLancamentos[Momento da falha],"&gt;="&amp;$C$7,tbLancamentos[Momento da falha],"&lt;="&amp;$D$7)&gt;$E$7,$E$7,SUMIFS(tbLancamentos[Tempo indisponível],tbLancamentos[Equipamento],$C22,tbLancamentos[Momento da falha],"&gt;="&amp;$C$7,tbLancamentos[Momento da falha],"&lt;="&amp;$D$7)),""))</f>
        <v/>
      </c>
      <c r="E22" s="97" t="str">
        <f>IF(C22="","",IFERROR(SUMIFS(tbLancamentos[Meta tempo reparo],tbLancamentos[Equipamento],$C22,tbLancamentos[Momento da falha],"&gt;="&amp;$C$7,tbLancamentos[Momento da falha],"&lt;="&amp;$D$7),""))</f>
        <v/>
      </c>
      <c r="F22" s="97" t="str">
        <f>IF(C22="","",IFERROR(SUMIFS(tbLancamentos[Tempo devido],tbLancamentos[Equipamento],$C22,tbLancamentos[Momento da falha],"&gt;="&amp;$C$7,tbLancamentos[Momento da falha],"&lt;="&amp;$D$7),""))</f>
        <v/>
      </c>
      <c r="G2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" s="127" t="str">
        <f t="shared" si="2"/>
        <v/>
      </c>
    </row>
    <row r="23" spans="2:34" ht="20.100000000000001" customHeight="1" x14ac:dyDescent="0.25">
      <c r="B23" s="94">
        <f>CadEqu!B19</f>
        <v>13</v>
      </c>
      <c r="C23" s="94" t="str">
        <f>IF(CadEqu!F19="","",CadEqu!F19)</f>
        <v/>
      </c>
      <c r="D23" s="97" t="str">
        <f>IF(C23="","",IFERROR(IF(SUMIFS(tbLancamentos[Tempo indisponível],tbLancamentos[Equipamento],$C23,tbLancamentos[Momento da falha],"&gt;="&amp;$C$7,tbLancamentos[Momento da falha],"&lt;="&amp;$D$7)&gt;$E$7,$E$7,SUMIFS(tbLancamentos[Tempo indisponível],tbLancamentos[Equipamento],$C23,tbLancamentos[Momento da falha],"&gt;="&amp;$C$7,tbLancamentos[Momento da falha],"&lt;="&amp;$D$7)),""))</f>
        <v/>
      </c>
      <c r="E23" s="97" t="str">
        <f>IF(C23="","",IFERROR(SUMIFS(tbLancamentos[Meta tempo reparo],tbLancamentos[Equipamento],$C23,tbLancamentos[Momento da falha],"&gt;="&amp;$C$7,tbLancamentos[Momento da falha],"&lt;="&amp;$D$7),""))</f>
        <v/>
      </c>
      <c r="F23" s="97" t="str">
        <f>IF(C23="","",IFERROR(SUMIFS(tbLancamentos[Tempo devido],tbLancamentos[Equipamento],$C23,tbLancamentos[Momento da falha],"&gt;="&amp;$C$7,tbLancamentos[Momento da falha],"&lt;="&amp;$D$7),""))</f>
        <v/>
      </c>
      <c r="G2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" s="127" t="str">
        <f t="shared" si="2"/>
        <v/>
      </c>
    </row>
    <row r="24" spans="2:34" ht="20.100000000000001" customHeight="1" x14ac:dyDescent="0.25">
      <c r="B24" s="94">
        <f>CadEqu!B20</f>
        <v>14</v>
      </c>
      <c r="C24" s="94" t="str">
        <f>IF(CadEqu!F20="","",CadEqu!F20)</f>
        <v/>
      </c>
      <c r="D24" s="97" t="str">
        <f>IF(C24="","",IFERROR(IF(SUMIFS(tbLancamentos[Tempo indisponível],tbLancamentos[Equipamento],$C24,tbLancamentos[Momento da falha],"&gt;="&amp;$C$7,tbLancamentos[Momento da falha],"&lt;="&amp;$D$7)&gt;$E$7,$E$7,SUMIFS(tbLancamentos[Tempo indisponível],tbLancamentos[Equipamento],$C24,tbLancamentos[Momento da falha],"&gt;="&amp;$C$7,tbLancamentos[Momento da falha],"&lt;="&amp;$D$7)),""))</f>
        <v/>
      </c>
      <c r="E24" s="97" t="str">
        <f>IF(C24="","",IFERROR(SUMIFS(tbLancamentos[Meta tempo reparo],tbLancamentos[Equipamento],$C24,tbLancamentos[Momento da falha],"&gt;="&amp;$C$7,tbLancamentos[Momento da falha],"&lt;="&amp;$D$7),""))</f>
        <v/>
      </c>
      <c r="F24" s="97" t="str">
        <f>IF(C24="","",IFERROR(SUMIFS(tbLancamentos[Tempo devido],tbLancamentos[Equipamento],$C24,tbLancamentos[Momento da falha],"&gt;="&amp;$C$7,tbLancamentos[Momento da falha],"&lt;="&amp;$D$7),""))</f>
        <v/>
      </c>
      <c r="G2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" s="127" t="str">
        <f t="shared" si="2"/>
        <v/>
      </c>
    </row>
    <row r="25" spans="2:34" ht="20.100000000000001" customHeight="1" x14ac:dyDescent="0.25">
      <c r="B25" s="94">
        <f>CadEqu!B21</f>
        <v>15</v>
      </c>
      <c r="C25" s="94" t="str">
        <f>IF(CadEqu!F21="","",CadEqu!F21)</f>
        <v/>
      </c>
      <c r="D25" s="97" t="str">
        <f>IF(C25="","",IFERROR(IF(SUMIFS(tbLancamentos[Tempo indisponível],tbLancamentos[Equipamento],$C25,tbLancamentos[Momento da falha],"&gt;="&amp;$C$7,tbLancamentos[Momento da falha],"&lt;="&amp;$D$7)&gt;$E$7,$E$7,SUMIFS(tbLancamentos[Tempo indisponível],tbLancamentos[Equipamento],$C25,tbLancamentos[Momento da falha],"&gt;="&amp;$C$7,tbLancamentos[Momento da falha],"&lt;="&amp;$D$7)),""))</f>
        <v/>
      </c>
      <c r="E25" s="97" t="str">
        <f>IF(C25="","",IFERROR(SUMIFS(tbLancamentos[Meta tempo reparo],tbLancamentos[Equipamento],$C25,tbLancamentos[Momento da falha],"&gt;="&amp;$C$7,tbLancamentos[Momento da falha],"&lt;="&amp;$D$7),""))</f>
        <v/>
      </c>
      <c r="F25" s="97" t="str">
        <f>IF(C25="","",IFERROR(SUMIFS(tbLancamentos[Tempo devido],tbLancamentos[Equipamento],$C25,tbLancamentos[Momento da falha],"&gt;="&amp;$C$7,tbLancamentos[Momento da falha],"&lt;="&amp;$D$7),""))</f>
        <v/>
      </c>
      <c r="G2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" s="127" t="str">
        <f t="shared" si="2"/>
        <v/>
      </c>
    </row>
    <row r="26" spans="2:34" ht="20.100000000000001" customHeight="1" x14ac:dyDescent="0.25">
      <c r="B26" s="94">
        <f>CadEqu!B22</f>
        <v>16</v>
      </c>
      <c r="C26" s="94" t="str">
        <f>IF(CadEqu!F22="","",CadEqu!F22)</f>
        <v/>
      </c>
      <c r="D26" s="97" t="str">
        <f>IF(C26="","",IFERROR(IF(SUMIFS(tbLancamentos[Tempo indisponível],tbLancamentos[Equipamento],$C26,tbLancamentos[Momento da falha],"&gt;="&amp;$C$7,tbLancamentos[Momento da falha],"&lt;="&amp;$D$7)&gt;$E$7,$E$7,SUMIFS(tbLancamentos[Tempo indisponível],tbLancamentos[Equipamento],$C26,tbLancamentos[Momento da falha],"&gt;="&amp;$C$7,tbLancamentos[Momento da falha],"&lt;="&amp;$D$7)),""))</f>
        <v/>
      </c>
      <c r="E26" s="97" t="str">
        <f>IF(C26="","",IFERROR(SUMIFS(tbLancamentos[Meta tempo reparo],tbLancamentos[Equipamento],$C26,tbLancamentos[Momento da falha],"&gt;="&amp;$C$7,tbLancamentos[Momento da falha],"&lt;="&amp;$D$7),""))</f>
        <v/>
      </c>
      <c r="F26" s="97" t="str">
        <f>IF(C26="","",IFERROR(SUMIFS(tbLancamentos[Tempo devido],tbLancamentos[Equipamento],$C26,tbLancamentos[Momento da falha],"&gt;="&amp;$C$7,tbLancamentos[Momento da falha],"&lt;="&amp;$D$7),""))</f>
        <v/>
      </c>
      <c r="G2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" s="127" t="str">
        <f t="shared" si="2"/>
        <v/>
      </c>
    </row>
    <row r="27" spans="2:34" ht="20.100000000000001" customHeight="1" x14ac:dyDescent="0.25">
      <c r="B27" s="94">
        <f>CadEqu!B23</f>
        <v>17</v>
      </c>
      <c r="C27" s="94" t="str">
        <f>IF(CadEqu!F23="","",CadEqu!F23)</f>
        <v/>
      </c>
      <c r="D27" s="97" t="str">
        <f>IF(C27="","",IFERROR(IF(SUMIFS(tbLancamentos[Tempo indisponível],tbLancamentos[Equipamento],$C27,tbLancamentos[Momento da falha],"&gt;="&amp;$C$7,tbLancamentos[Momento da falha],"&lt;="&amp;$D$7)&gt;$E$7,$E$7,SUMIFS(tbLancamentos[Tempo indisponível],tbLancamentos[Equipamento],$C27,tbLancamentos[Momento da falha],"&gt;="&amp;$C$7,tbLancamentos[Momento da falha],"&lt;="&amp;$D$7)),""))</f>
        <v/>
      </c>
      <c r="E27" s="97" t="str">
        <f>IF(C27="","",IFERROR(SUMIFS(tbLancamentos[Meta tempo reparo],tbLancamentos[Equipamento],$C27,tbLancamentos[Momento da falha],"&gt;="&amp;$C$7,tbLancamentos[Momento da falha],"&lt;="&amp;$D$7),""))</f>
        <v/>
      </c>
      <c r="F27" s="97" t="str">
        <f>IF(C27="","",IFERROR(SUMIFS(tbLancamentos[Tempo devido],tbLancamentos[Equipamento],$C27,tbLancamentos[Momento da falha],"&gt;="&amp;$C$7,tbLancamentos[Momento da falha],"&lt;="&amp;$D$7),""))</f>
        <v/>
      </c>
      <c r="G2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" s="127" t="str">
        <f t="shared" si="2"/>
        <v/>
      </c>
    </row>
    <row r="28" spans="2:34" ht="20.100000000000001" customHeight="1" x14ac:dyDescent="0.25">
      <c r="B28" s="94">
        <f>CadEqu!B24</f>
        <v>18</v>
      </c>
      <c r="C28" s="94" t="str">
        <f>IF(CadEqu!F24="","",CadEqu!F24)</f>
        <v/>
      </c>
      <c r="D28" s="97" t="str">
        <f>IF(C28="","",IFERROR(IF(SUMIFS(tbLancamentos[Tempo indisponível],tbLancamentos[Equipamento],$C28,tbLancamentos[Momento da falha],"&gt;="&amp;$C$7,tbLancamentos[Momento da falha],"&lt;="&amp;$D$7)&gt;$E$7,$E$7,SUMIFS(tbLancamentos[Tempo indisponível],tbLancamentos[Equipamento],$C28,tbLancamentos[Momento da falha],"&gt;="&amp;$C$7,tbLancamentos[Momento da falha],"&lt;="&amp;$D$7)),""))</f>
        <v/>
      </c>
      <c r="E28" s="97" t="str">
        <f>IF(C28="","",IFERROR(SUMIFS(tbLancamentos[Meta tempo reparo],tbLancamentos[Equipamento],$C28,tbLancamentos[Momento da falha],"&gt;="&amp;$C$7,tbLancamentos[Momento da falha],"&lt;="&amp;$D$7),""))</f>
        <v/>
      </c>
      <c r="F28" s="97" t="str">
        <f>IF(C28="","",IFERROR(SUMIFS(tbLancamentos[Tempo devido],tbLancamentos[Equipamento],$C28,tbLancamentos[Momento da falha],"&gt;="&amp;$C$7,tbLancamentos[Momento da falha],"&lt;="&amp;$D$7),""))</f>
        <v/>
      </c>
      <c r="G2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" s="127" t="str">
        <f t="shared" si="2"/>
        <v/>
      </c>
    </row>
    <row r="29" spans="2:34" ht="20.100000000000001" customHeight="1" x14ac:dyDescent="0.25">
      <c r="B29" s="94">
        <f>CadEqu!B25</f>
        <v>19</v>
      </c>
      <c r="C29" s="94" t="str">
        <f>IF(CadEqu!F25="","",CadEqu!F25)</f>
        <v/>
      </c>
      <c r="D29" s="97" t="str">
        <f>IF(C29="","",IFERROR(IF(SUMIFS(tbLancamentos[Tempo indisponível],tbLancamentos[Equipamento],$C29,tbLancamentos[Momento da falha],"&gt;="&amp;$C$7,tbLancamentos[Momento da falha],"&lt;="&amp;$D$7)&gt;$E$7,$E$7,SUMIFS(tbLancamentos[Tempo indisponível],tbLancamentos[Equipamento],$C29,tbLancamentos[Momento da falha],"&gt;="&amp;$C$7,tbLancamentos[Momento da falha],"&lt;="&amp;$D$7)),""))</f>
        <v/>
      </c>
      <c r="E29" s="97" t="str">
        <f>IF(C29="","",IFERROR(SUMIFS(tbLancamentos[Meta tempo reparo],tbLancamentos[Equipamento],$C29,tbLancamentos[Momento da falha],"&gt;="&amp;$C$7,tbLancamentos[Momento da falha],"&lt;="&amp;$D$7),""))</f>
        <v/>
      </c>
      <c r="F29" s="97" t="str">
        <f>IF(C29="","",IFERROR(SUMIFS(tbLancamentos[Tempo devido],tbLancamentos[Equipamento],$C29,tbLancamentos[Momento da falha],"&gt;="&amp;$C$7,tbLancamentos[Momento da falha],"&lt;="&amp;$D$7),""))</f>
        <v/>
      </c>
      <c r="G2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" s="127" t="str">
        <f t="shared" si="2"/>
        <v/>
      </c>
    </row>
    <row r="30" spans="2:34" ht="20.100000000000001" customHeight="1" x14ac:dyDescent="0.25">
      <c r="B30" s="94">
        <f>CadEqu!B26</f>
        <v>20</v>
      </c>
      <c r="C30" s="94" t="str">
        <f>IF(CadEqu!F26="","",CadEqu!F26)</f>
        <v/>
      </c>
      <c r="D30" s="97" t="str">
        <f>IF(C30="","",IFERROR(IF(SUMIFS(tbLancamentos[Tempo indisponível],tbLancamentos[Equipamento],$C30,tbLancamentos[Momento da falha],"&gt;="&amp;$C$7,tbLancamentos[Momento da falha],"&lt;="&amp;$D$7)&gt;$E$7,$E$7,SUMIFS(tbLancamentos[Tempo indisponível],tbLancamentos[Equipamento],$C30,tbLancamentos[Momento da falha],"&gt;="&amp;$C$7,tbLancamentos[Momento da falha],"&lt;="&amp;$D$7)),""))</f>
        <v/>
      </c>
      <c r="E30" s="97" t="str">
        <f>IF(C30="","",IFERROR(SUMIFS(tbLancamentos[Meta tempo reparo],tbLancamentos[Equipamento],$C30,tbLancamentos[Momento da falha],"&gt;="&amp;$C$7,tbLancamentos[Momento da falha],"&lt;="&amp;$D$7),""))</f>
        <v/>
      </c>
      <c r="F30" s="97" t="str">
        <f>IF(C30="","",IFERROR(SUMIFS(tbLancamentos[Tempo devido],tbLancamentos[Equipamento],$C30,tbLancamentos[Momento da falha],"&gt;="&amp;$C$7,tbLancamentos[Momento da falha],"&lt;="&amp;$D$7),""))</f>
        <v/>
      </c>
      <c r="G3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" s="127" t="str">
        <f t="shared" si="2"/>
        <v/>
      </c>
    </row>
    <row r="31" spans="2:34" ht="20.100000000000001" customHeight="1" x14ac:dyDescent="0.25">
      <c r="B31" s="94">
        <f>CadEqu!B27</f>
        <v>21</v>
      </c>
      <c r="C31" s="94" t="str">
        <f>IF(CadEqu!F27="","",CadEqu!F27)</f>
        <v/>
      </c>
      <c r="D31" s="97" t="str">
        <f>IF(C31="","",IFERROR(IF(SUMIFS(tbLancamentos[Tempo indisponível],tbLancamentos[Equipamento],$C31,tbLancamentos[Momento da falha],"&gt;="&amp;$C$7,tbLancamentos[Momento da falha],"&lt;="&amp;$D$7)&gt;$E$7,$E$7,SUMIFS(tbLancamentos[Tempo indisponível],tbLancamentos[Equipamento],$C31,tbLancamentos[Momento da falha],"&gt;="&amp;$C$7,tbLancamentos[Momento da falha],"&lt;="&amp;$D$7)),""))</f>
        <v/>
      </c>
      <c r="E31" s="97" t="str">
        <f>IF(C31="","",IFERROR(SUMIFS(tbLancamentos[Meta tempo reparo],tbLancamentos[Equipamento],$C31,tbLancamentos[Momento da falha],"&gt;="&amp;$C$7,tbLancamentos[Momento da falha],"&lt;="&amp;$D$7),""))</f>
        <v/>
      </c>
      <c r="F31" s="97" t="str">
        <f>IF(C31="","",IFERROR(SUMIFS(tbLancamentos[Tempo devido],tbLancamentos[Equipamento],$C31,tbLancamentos[Momento da falha],"&gt;="&amp;$C$7,tbLancamentos[Momento da falha],"&lt;="&amp;$D$7),""))</f>
        <v/>
      </c>
      <c r="G3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" s="127" t="str">
        <f t="shared" si="2"/>
        <v/>
      </c>
    </row>
    <row r="32" spans="2:34" ht="20.100000000000001" customHeight="1" x14ac:dyDescent="0.25">
      <c r="B32" s="94">
        <f>CadEqu!B28</f>
        <v>22</v>
      </c>
      <c r="C32" s="94" t="str">
        <f>IF(CadEqu!F28="","",CadEqu!F28)</f>
        <v/>
      </c>
      <c r="D32" s="97" t="str">
        <f>IF(C32="","",IFERROR(IF(SUMIFS(tbLancamentos[Tempo indisponível],tbLancamentos[Equipamento],$C32,tbLancamentos[Momento da falha],"&gt;="&amp;$C$7,tbLancamentos[Momento da falha],"&lt;="&amp;$D$7)&gt;$E$7,$E$7,SUMIFS(tbLancamentos[Tempo indisponível],tbLancamentos[Equipamento],$C32,tbLancamentos[Momento da falha],"&gt;="&amp;$C$7,tbLancamentos[Momento da falha],"&lt;="&amp;$D$7)),""))</f>
        <v/>
      </c>
      <c r="E32" s="97" t="str">
        <f>IF(C32="","",IFERROR(SUMIFS(tbLancamentos[Meta tempo reparo],tbLancamentos[Equipamento],$C32,tbLancamentos[Momento da falha],"&gt;="&amp;$C$7,tbLancamentos[Momento da falha],"&lt;="&amp;$D$7),""))</f>
        <v/>
      </c>
      <c r="F32" s="97" t="str">
        <f>IF(C32="","",IFERROR(SUMIFS(tbLancamentos[Tempo devido],tbLancamentos[Equipamento],$C32,tbLancamentos[Momento da falha],"&gt;="&amp;$C$7,tbLancamentos[Momento da falha],"&lt;="&amp;$D$7),""))</f>
        <v/>
      </c>
      <c r="G3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" s="127" t="str">
        <f t="shared" si="2"/>
        <v/>
      </c>
    </row>
    <row r="33" spans="2:9" ht="20.100000000000001" customHeight="1" x14ac:dyDescent="0.25">
      <c r="B33" s="94">
        <f>CadEqu!B29</f>
        <v>23</v>
      </c>
      <c r="C33" s="94" t="str">
        <f>IF(CadEqu!F29="","",CadEqu!F29)</f>
        <v/>
      </c>
      <c r="D33" s="97" t="str">
        <f>IF(C33="","",IFERROR(IF(SUMIFS(tbLancamentos[Tempo indisponível],tbLancamentos[Equipamento],$C33,tbLancamentos[Momento da falha],"&gt;="&amp;$C$7,tbLancamentos[Momento da falha],"&lt;="&amp;$D$7)&gt;$E$7,$E$7,SUMIFS(tbLancamentos[Tempo indisponível],tbLancamentos[Equipamento],$C33,tbLancamentos[Momento da falha],"&gt;="&amp;$C$7,tbLancamentos[Momento da falha],"&lt;="&amp;$D$7)),""))</f>
        <v/>
      </c>
      <c r="E33" s="97" t="str">
        <f>IF(C33="","",IFERROR(SUMIFS(tbLancamentos[Meta tempo reparo],tbLancamentos[Equipamento],$C33,tbLancamentos[Momento da falha],"&gt;="&amp;$C$7,tbLancamentos[Momento da falha],"&lt;="&amp;$D$7),""))</f>
        <v/>
      </c>
      <c r="F33" s="97" t="str">
        <f>IF(C33="","",IFERROR(SUMIFS(tbLancamentos[Tempo devido],tbLancamentos[Equipamento],$C33,tbLancamentos[Momento da falha],"&gt;="&amp;$C$7,tbLancamentos[Momento da falha],"&lt;="&amp;$D$7),""))</f>
        <v/>
      </c>
      <c r="G3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" s="127" t="str">
        <f t="shared" si="2"/>
        <v/>
      </c>
    </row>
    <row r="34" spans="2:9" ht="20.100000000000001" customHeight="1" x14ac:dyDescent="0.25">
      <c r="B34" s="94">
        <f>CadEqu!B30</f>
        <v>24</v>
      </c>
      <c r="C34" s="94" t="str">
        <f>IF(CadEqu!F30="","",CadEqu!F30)</f>
        <v/>
      </c>
      <c r="D34" s="97" t="str">
        <f>IF(C34="","",IFERROR(IF(SUMIFS(tbLancamentos[Tempo indisponível],tbLancamentos[Equipamento],$C34,tbLancamentos[Momento da falha],"&gt;="&amp;$C$7,tbLancamentos[Momento da falha],"&lt;="&amp;$D$7)&gt;$E$7,$E$7,SUMIFS(tbLancamentos[Tempo indisponível],tbLancamentos[Equipamento],$C34,tbLancamentos[Momento da falha],"&gt;="&amp;$C$7,tbLancamentos[Momento da falha],"&lt;="&amp;$D$7)),""))</f>
        <v/>
      </c>
      <c r="E34" s="97" t="str">
        <f>IF(C34="","",IFERROR(SUMIFS(tbLancamentos[Meta tempo reparo],tbLancamentos[Equipamento],$C34,tbLancamentos[Momento da falha],"&gt;="&amp;$C$7,tbLancamentos[Momento da falha],"&lt;="&amp;$D$7),""))</f>
        <v/>
      </c>
      <c r="F34" s="97" t="str">
        <f>IF(C34="","",IFERROR(SUMIFS(tbLancamentos[Tempo devido],tbLancamentos[Equipamento],$C34,tbLancamentos[Momento da falha],"&gt;="&amp;$C$7,tbLancamentos[Momento da falha],"&lt;="&amp;$D$7),""))</f>
        <v/>
      </c>
      <c r="G3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" s="127" t="str">
        <f t="shared" si="2"/>
        <v/>
      </c>
    </row>
    <row r="35" spans="2:9" ht="20.100000000000001" customHeight="1" x14ac:dyDescent="0.25">
      <c r="B35" s="94">
        <f>CadEqu!B31</f>
        <v>25</v>
      </c>
      <c r="C35" s="94" t="str">
        <f>IF(CadEqu!F31="","",CadEqu!F31)</f>
        <v/>
      </c>
      <c r="D35" s="97" t="str">
        <f>IF(C35="","",IFERROR(IF(SUMIFS(tbLancamentos[Tempo indisponível],tbLancamentos[Equipamento],$C35,tbLancamentos[Momento da falha],"&gt;="&amp;$C$7,tbLancamentos[Momento da falha],"&lt;="&amp;$D$7)&gt;$E$7,$E$7,SUMIFS(tbLancamentos[Tempo indisponível],tbLancamentos[Equipamento],$C35,tbLancamentos[Momento da falha],"&gt;="&amp;$C$7,tbLancamentos[Momento da falha],"&lt;="&amp;$D$7)),""))</f>
        <v/>
      </c>
      <c r="E35" s="97" t="str">
        <f>IF(C35="","",IFERROR(SUMIFS(tbLancamentos[Meta tempo reparo],tbLancamentos[Equipamento],$C35,tbLancamentos[Momento da falha],"&gt;="&amp;$C$7,tbLancamentos[Momento da falha],"&lt;="&amp;$D$7),""))</f>
        <v/>
      </c>
      <c r="F35" s="97" t="str">
        <f>IF(C35="","",IFERROR(SUMIFS(tbLancamentos[Tempo devido],tbLancamentos[Equipamento],$C35,tbLancamentos[Momento da falha],"&gt;="&amp;$C$7,tbLancamentos[Momento da falha],"&lt;="&amp;$D$7),""))</f>
        <v/>
      </c>
      <c r="G3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" s="127" t="str">
        <f t="shared" si="2"/>
        <v/>
      </c>
    </row>
    <row r="36" spans="2:9" ht="20.100000000000001" customHeight="1" x14ac:dyDescent="0.25">
      <c r="B36" s="94">
        <f>CadEqu!B32</f>
        <v>26</v>
      </c>
      <c r="C36" s="94" t="str">
        <f>IF(CadEqu!F32="","",CadEqu!F32)</f>
        <v/>
      </c>
      <c r="D36" s="97" t="str">
        <f>IF(C36="","",IFERROR(IF(SUMIFS(tbLancamentos[Tempo indisponível],tbLancamentos[Equipamento],$C36,tbLancamentos[Momento da falha],"&gt;="&amp;$C$7,tbLancamentos[Momento da falha],"&lt;="&amp;$D$7)&gt;$E$7,$E$7,SUMIFS(tbLancamentos[Tempo indisponível],tbLancamentos[Equipamento],$C36,tbLancamentos[Momento da falha],"&gt;="&amp;$C$7,tbLancamentos[Momento da falha],"&lt;="&amp;$D$7)),""))</f>
        <v/>
      </c>
      <c r="E36" s="97" t="str">
        <f>IF(C36="","",IFERROR(SUMIFS(tbLancamentos[Meta tempo reparo],tbLancamentos[Equipamento],$C36,tbLancamentos[Momento da falha],"&gt;="&amp;$C$7,tbLancamentos[Momento da falha],"&lt;="&amp;$D$7),""))</f>
        <v/>
      </c>
      <c r="F36" s="97" t="str">
        <f>IF(C36="","",IFERROR(SUMIFS(tbLancamentos[Tempo devido],tbLancamentos[Equipamento],$C36,tbLancamentos[Momento da falha],"&gt;="&amp;$C$7,tbLancamentos[Momento da falha],"&lt;="&amp;$D$7),""))</f>
        <v/>
      </c>
      <c r="G3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" s="127" t="str">
        <f t="shared" si="2"/>
        <v/>
      </c>
    </row>
    <row r="37" spans="2:9" ht="20.100000000000001" customHeight="1" x14ac:dyDescent="0.25">
      <c r="B37" s="94">
        <f>CadEqu!B33</f>
        <v>27</v>
      </c>
      <c r="C37" s="94" t="str">
        <f>IF(CadEqu!F33="","",CadEqu!F33)</f>
        <v/>
      </c>
      <c r="D37" s="97" t="str">
        <f>IF(C37="","",IFERROR(IF(SUMIFS(tbLancamentos[Tempo indisponível],tbLancamentos[Equipamento],$C37,tbLancamentos[Momento da falha],"&gt;="&amp;$C$7,tbLancamentos[Momento da falha],"&lt;="&amp;$D$7)&gt;$E$7,$E$7,SUMIFS(tbLancamentos[Tempo indisponível],tbLancamentos[Equipamento],$C37,tbLancamentos[Momento da falha],"&gt;="&amp;$C$7,tbLancamentos[Momento da falha],"&lt;="&amp;$D$7)),""))</f>
        <v/>
      </c>
      <c r="E37" s="97" t="str">
        <f>IF(C37="","",IFERROR(SUMIFS(tbLancamentos[Meta tempo reparo],tbLancamentos[Equipamento],$C37,tbLancamentos[Momento da falha],"&gt;="&amp;$C$7,tbLancamentos[Momento da falha],"&lt;="&amp;$D$7),""))</f>
        <v/>
      </c>
      <c r="F37" s="97" t="str">
        <f>IF(C37="","",IFERROR(SUMIFS(tbLancamentos[Tempo devido],tbLancamentos[Equipamento],$C37,tbLancamentos[Momento da falha],"&gt;="&amp;$C$7,tbLancamentos[Momento da falha],"&lt;="&amp;$D$7),""))</f>
        <v/>
      </c>
      <c r="G3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" s="127" t="str">
        <f t="shared" si="2"/>
        <v/>
      </c>
    </row>
    <row r="38" spans="2:9" ht="20.100000000000001" customHeight="1" x14ac:dyDescent="0.25">
      <c r="B38" s="94">
        <f>CadEqu!B34</f>
        <v>28</v>
      </c>
      <c r="C38" s="94" t="str">
        <f>IF(CadEqu!F34="","",CadEqu!F34)</f>
        <v/>
      </c>
      <c r="D38" s="97" t="str">
        <f>IF(C38="","",IFERROR(IF(SUMIFS(tbLancamentos[Tempo indisponível],tbLancamentos[Equipamento],$C38,tbLancamentos[Momento da falha],"&gt;="&amp;$C$7,tbLancamentos[Momento da falha],"&lt;="&amp;$D$7)&gt;$E$7,$E$7,SUMIFS(tbLancamentos[Tempo indisponível],tbLancamentos[Equipamento],$C38,tbLancamentos[Momento da falha],"&gt;="&amp;$C$7,tbLancamentos[Momento da falha],"&lt;="&amp;$D$7)),""))</f>
        <v/>
      </c>
      <c r="E38" s="97" t="str">
        <f>IF(C38="","",IFERROR(SUMIFS(tbLancamentos[Meta tempo reparo],tbLancamentos[Equipamento],$C38,tbLancamentos[Momento da falha],"&gt;="&amp;$C$7,tbLancamentos[Momento da falha],"&lt;="&amp;$D$7),""))</f>
        <v/>
      </c>
      <c r="F38" s="97" t="str">
        <f>IF(C38="","",IFERROR(SUMIFS(tbLancamentos[Tempo devido],tbLancamentos[Equipamento],$C38,tbLancamentos[Momento da falha],"&gt;="&amp;$C$7,tbLancamentos[Momento da falha],"&lt;="&amp;$D$7),""))</f>
        <v/>
      </c>
      <c r="G3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" s="127" t="str">
        <f t="shared" si="2"/>
        <v/>
      </c>
    </row>
    <row r="39" spans="2:9" ht="20.100000000000001" customHeight="1" x14ac:dyDescent="0.25">
      <c r="B39" s="94">
        <f>CadEqu!B35</f>
        <v>29</v>
      </c>
      <c r="C39" s="94" t="str">
        <f>IF(CadEqu!F35="","",CadEqu!F35)</f>
        <v/>
      </c>
      <c r="D39" s="97" t="str">
        <f>IF(C39="","",IFERROR(IF(SUMIFS(tbLancamentos[Tempo indisponível],tbLancamentos[Equipamento],$C39,tbLancamentos[Momento da falha],"&gt;="&amp;$C$7,tbLancamentos[Momento da falha],"&lt;="&amp;$D$7)&gt;$E$7,$E$7,SUMIFS(tbLancamentos[Tempo indisponível],tbLancamentos[Equipamento],$C39,tbLancamentos[Momento da falha],"&gt;="&amp;$C$7,tbLancamentos[Momento da falha],"&lt;="&amp;$D$7)),""))</f>
        <v/>
      </c>
      <c r="E39" s="97" t="str">
        <f>IF(C39="","",IFERROR(SUMIFS(tbLancamentos[Meta tempo reparo],tbLancamentos[Equipamento],$C39,tbLancamentos[Momento da falha],"&gt;="&amp;$C$7,tbLancamentos[Momento da falha],"&lt;="&amp;$D$7),""))</f>
        <v/>
      </c>
      <c r="F39" s="97" t="str">
        <f>IF(C39="","",IFERROR(SUMIFS(tbLancamentos[Tempo devido],tbLancamentos[Equipamento],$C39,tbLancamentos[Momento da falha],"&gt;="&amp;$C$7,tbLancamentos[Momento da falha],"&lt;="&amp;$D$7),""))</f>
        <v/>
      </c>
      <c r="G3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" s="127" t="str">
        <f t="shared" si="2"/>
        <v/>
      </c>
    </row>
    <row r="40" spans="2:9" ht="20.100000000000001" customHeight="1" x14ac:dyDescent="0.25">
      <c r="B40" s="94">
        <f>CadEqu!B36</f>
        <v>30</v>
      </c>
      <c r="C40" s="94" t="str">
        <f>IF(CadEqu!F36="","",CadEqu!F36)</f>
        <v/>
      </c>
      <c r="D40" s="97" t="str">
        <f>IF(C40="","",IFERROR(IF(SUMIFS(tbLancamentos[Tempo indisponível],tbLancamentos[Equipamento],$C40,tbLancamentos[Momento da falha],"&gt;="&amp;$C$7,tbLancamentos[Momento da falha],"&lt;="&amp;$D$7)&gt;$E$7,$E$7,SUMIFS(tbLancamentos[Tempo indisponível],tbLancamentos[Equipamento],$C40,tbLancamentos[Momento da falha],"&gt;="&amp;$C$7,tbLancamentos[Momento da falha],"&lt;="&amp;$D$7)),""))</f>
        <v/>
      </c>
      <c r="E40" s="97" t="str">
        <f>IF(C40="","",IFERROR(SUMIFS(tbLancamentos[Meta tempo reparo],tbLancamentos[Equipamento],$C40,tbLancamentos[Momento da falha],"&gt;="&amp;$C$7,tbLancamentos[Momento da falha],"&lt;="&amp;$D$7),""))</f>
        <v/>
      </c>
      <c r="F40" s="97" t="str">
        <f>IF(C40="","",IFERROR(SUMIFS(tbLancamentos[Tempo devido],tbLancamentos[Equipamento],$C40,tbLancamentos[Momento da falha],"&gt;="&amp;$C$7,tbLancamentos[Momento da falha],"&lt;="&amp;$D$7),""))</f>
        <v/>
      </c>
      <c r="G4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" s="127" t="str">
        <f t="shared" si="2"/>
        <v/>
      </c>
    </row>
    <row r="41" spans="2:9" ht="20.100000000000001" customHeight="1" x14ac:dyDescent="0.25">
      <c r="B41" s="94">
        <f>CadEqu!B37</f>
        <v>31</v>
      </c>
      <c r="C41" s="94" t="str">
        <f>IF(CadEqu!F37="","",CadEqu!F37)</f>
        <v/>
      </c>
      <c r="D41" s="97" t="str">
        <f>IF(C41="","",IFERROR(IF(SUMIFS(tbLancamentos[Tempo indisponível],tbLancamentos[Equipamento],$C41,tbLancamentos[Momento da falha],"&gt;="&amp;$C$7,tbLancamentos[Momento da falha],"&lt;="&amp;$D$7)&gt;$E$7,$E$7,SUMIFS(tbLancamentos[Tempo indisponível],tbLancamentos[Equipamento],$C41,tbLancamentos[Momento da falha],"&gt;="&amp;$C$7,tbLancamentos[Momento da falha],"&lt;="&amp;$D$7)),""))</f>
        <v/>
      </c>
      <c r="E41" s="97" t="str">
        <f>IF(C41="","",IFERROR(SUMIFS(tbLancamentos[Meta tempo reparo],tbLancamentos[Equipamento],$C41,tbLancamentos[Momento da falha],"&gt;="&amp;$C$7,tbLancamentos[Momento da falha],"&lt;="&amp;$D$7),""))</f>
        <v/>
      </c>
      <c r="F41" s="97" t="str">
        <f>IF(C41="","",IFERROR(SUMIFS(tbLancamentos[Tempo devido],tbLancamentos[Equipamento],$C41,tbLancamentos[Momento da falha],"&gt;="&amp;$C$7,tbLancamentos[Momento da falha],"&lt;="&amp;$D$7),""))</f>
        <v/>
      </c>
      <c r="G4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" s="127" t="str">
        <f t="shared" si="2"/>
        <v/>
      </c>
    </row>
    <row r="42" spans="2:9" ht="20.100000000000001" customHeight="1" x14ac:dyDescent="0.25">
      <c r="B42" s="94">
        <f>CadEqu!B38</f>
        <v>32</v>
      </c>
      <c r="C42" s="94" t="str">
        <f>IF(CadEqu!F38="","",CadEqu!F38)</f>
        <v/>
      </c>
      <c r="D42" s="97" t="str">
        <f>IF(C42="","",IFERROR(IF(SUMIFS(tbLancamentos[Tempo indisponível],tbLancamentos[Equipamento],$C42,tbLancamentos[Momento da falha],"&gt;="&amp;$C$7,tbLancamentos[Momento da falha],"&lt;="&amp;$D$7)&gt;$E$7,$E$7,SUMIFS(tbLancamentos[Tempo indisponível],tbLancamentos[Equipamento],$C42,tbLancamentos[Momento da falha],"&gt;="&amp;$C$7,tbLancamentos[Momento da falha],"&lt;="&amp;$D$7)),""))</f>
        <v/>
      </c>
      <c r="E42" s="97" t="str">
        <f>IF(C42="","",IFERROR(SUMIFS(tbLancamentos[Meta tempo reparo],tbLancamentos[Equipamento],$C42,tbLancamentos[Momento da falha],"&gt;="&amp;$C$7,tbLancamentos[Momento da falha],"&lt;="&amp;$D$7),""))</f>
        <v/>
      </c>
      <c r="F42" s="97" t="str">
        <f>IF(C42="","",IFERROR(SUMIFS(tbLancamentos[Tempo devido],tbLancamentos[Equipamento],$C42,tbLancamentos[Momento da falha],"&gt;="&amp;$C$7,tbLancamentos[Momento da falha],"&lt;="&amp;$D$7),""))</f>
        <v/>
      </c>
      <c r="G4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" s="127" t="str">
        <f t="shared" si="2"/>
        <v/>
      </c>
    </row>
    <row r="43" spans="2:9" ht="20.100000000000001" customHeight="1" x14ac:dyDescent="0.25">
      <c r="B43" s="94">
        <f>CadEqu!B39</f>
        <v>33</v>
      </c>
      <c r="C43" s="94" t="str">
        <f>IF(CadEqu!F39="","",CadEqu!F39)</f>
        <v/>
      </c>
      <c r="D43" s="97" t="str">
        <f>IF(C43="","",IFERROR(IF(SUMIFS(tbLancamentos[Tempo indisponível],tbLancamentos[Equipamento],$C43,tbLancamentos[Momento da falha],"&gt;="&amp;$C$7,tbLancamentos[Momento da falha],"&lt;="&amp;$D$7)&gt;$E$7,$E$7,SUMIFS(tbLancamentos[Tempo indisponível],tbLancamentos[Equipamento],$C43,tbLancamentos[Momento da falha],"&gt;="&amp;$C$7,tbLancamentos[Momento da falha],"&lt;="&amp;$D$7)),""))</f>
        <v/>
      </c>
      <c r="E43" s="97" t="str">
        <f>IF(C43="","",IFERROR(SUMIFS(tbLancamentos[Meta tempo reparo],tbLancamentos[Equipamento],$C43,tbLancamentos[Momento da falha],"&gt;="&amp;$C$7,tbLancamentos[Momento da falha],"&lt;="&amp;$D$7),""))</f>
        <v/>
      </c>
      <c r="F43" s="97" t="str">
        <f>IF(C43="","",IFERROR(SUMIFS(tbLancamentos[Tempo devido],tbLancamentos[Equipamento],$C43,tbLancamentos[Momento da falha],"&gt;="&amp;$C$7,tbLancamentos[Momento da falha],"&lt;="&amp;$D$7),""))</f>
        <v/>
      </c>
      <c r="G4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" s="127" t="str">
        <f t="shared" si="2"/>
        <v/>
      </c>
    </row>
    <row r="44" spans="2:9" ht="20.100000000000001" customHeight="1" x14ac:dyDescent="0.25">
      <c r="B44" s="94">
        <f>CadEqu!B40</f>
        <v>34</v>
      </c>
      <c r="C44" s="94" t="str">
        <f>IF(CadEqu!F40="","",CadEqu!F40)</f>
        <v/>
      </c>
      <c r="D44" s="97" t="str">
        <f>IF(C44="","",IFERROR(IF(SUMIFS(tbLancamentos[Tempo indisponível],tbLancamentos[Equipamento],$C44,tbLancamentos[Momento da falha],"&gt;="&amp;$C$7,tbLancamentos[Momento da falha],"&lt;="&amp;$D$7)&gt;$E$7,$E$7,SUMIFS(tbLancamentos[Tempo indisponível],tbLancamentos[Equipamento],$C44,tbLancamentos[Momento da falha],"&gt;="&amp;$C$7,tbLancamentos[Momento da falha],"&lt;="&amp;$D$7)),""))</f>
        <v/>
      </c>
      <c r="E44" s="97" t="str">
        <f>IF(C44="","",IFERROR(SUMIFS(tbLancamentos[Meta tempo reparo],tbLancamentos[Equipamento],$C44,tbLancamentos[Momento da falha],"&gt;="&amp;$C$7,tbLancamentos[Momento da falha],"&lt;="&amp;$D$7),""))</f>
        <v/>
      </c>
      <c r="F44" s="97" t="str">
        <f>IF(C44="","",IFERROR(SUMIFS(tbLancamentos[Tempo devido],tbLancamentos[Equipamento],$C44,tbLancamentos[Momento da falha],"&gt;="&amp;$C$7,tbLancamentos[Momento da falha],"&lt;="&amp;$D$7),""))</f>
        <v/>
      </c>
      <c r="G4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" s="127" t="str">
        <f t="shared" si="2"/>
        <v/>
      </c>
    </row>
    <row r="45" spans="2:9" ht="20.100000000000001" customHeight="1" x14ac:dyDescent="0.25">
      <c r="B45" s="94">
        <f>CadEqu!B41</f>
        <v>35</v>
      </c>
      <c r="C45" s="94" t="str">
        <f>IF(CadEqu!F41="","",CadEqu!F41)</f>
        <v/>
      </c>
      <c r="D45" s="97" t="str">
        <f>IF(C45="","",IFERROR(IF(SUMIFS(tbLancamentos[Tempo indisponível],tbLancamentos[Equipamento],$C45,tbLancamentos[Momento da falha],"&gt;="&amp;$C$7,tbLancamentos[Momento da falha],"&lt;="&amp;$D$7)&gt;$E$7,$E$7,SUMIFS(tbLancamentos[Tempo indisponível],tbLancamentos[Equipamento],$C45,tbLancamentos[Momento da falha],"&gt;="&amp;$C$7,tbLancamentos[Momento da falha],"&lt;="&amp;$D$7)),""))</f>
        <v/>
      </c>
      <c r="E45" s="97" t="str">
        <f>IF(C45="","",IFERROR(SUMIFS(tbLancamentos[Meta tempo reparo],tbLancamentos[Equipamento],$C45,tbLancamentos[Momento da falha],"&gt;="&amp;$C$7,tbLancamentos[Momento da falha],"&lt;="&amp;$D$7),""))</f>
        <v/>
      </c>
      <c r="F45" s="97" t="str">
        <f>IF(C45="","",IFERROR(SUMIFS(tbLancamentos[Tempo devido],tbLancamentos[Equipamento],$C45,tbLancamentos[Momento da falha],"&gt;="&amp;$C$7,tbLancamentos[Momento da falha],"&lt;="&amp;$D$7),""))</f>
        <v/>
      </c>
      <c r="G4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" s="127" t="str">
        <f t="shared" si="2"/>
        <v/>
      </c>
    </row>
    <row r="46" spans="2:9" ht="20.100000000000001" customHeight="1" x14ac:dyDescent="0.25">
      <c r="B46" s="94">
        <f>CadEqu!B42</f>
        <v>36</v>
      </c>
      <c r="C46" s="94" t="str">
        <f>IF(CadEqu!F42="","",CadEqu!F42)</f>
        <v/>
      </c>
      <c r="D46" s="97" t="str">
        <f>IF(C46="","",IFERROR(IF(SUMIFS(tbLancamentos[Tempo indisponível],tbLancamentos[Equipamento],$C46,tbLancamentos[Momento da falha],"&gt;="&amp;$C$7,tbLancamentos[Momento da falha],"&lt;="&amp;$D$7)&gt;$E$7,$E$7,SUMIFS(tbLancamentos[Tempo indisponível],tbLancamentos[Equipamento],$C46,tbLancamentos[Momento da falha],"&gt;="&amp;$C$7,tbLancamentos[Momento da falha],"&lt;="&amp;$D$7)),""))</f>
        <v/>
      </c>
      <c r="E46" s="97" t="str">
        <f>IF(C46="","",IFERROR(SUMIFS(tbLancamentos[Meta tempo reparo],tbLancamentos[Equipamento],$C46,tbLancamentos[Momento da falha],"&gt;="&amp;$C$7,tbLancamentos[Momento da falha],"&lt;="&amp;$D$7),""))</f>
        <v/>
      </c>
      <c r="F46" s="97" t="str">
        <f>IF(C46="","",IFERROR(SUMIFS(tbLancamentos[Tempo devido],tbLancamentos[Equipamento],$C46,tbLancamentos[Momento da falha],"&gt;="&amp;$C$7,tbLancamentos[Momento da falha],"&lt;="&amp;$D$7),""))</f>
        <v/>
      </c>
      <c r="G4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" s="127" t="str">
        <f t="shared" si="2"/>
        <v/>
      </c>
    </row>
    <row r="47" spans="2:9" ht="20.100000000000001" customHeight="1" x14ac:dyDescent="0.25">
      <c r="B47" s="94">
        <f>CadEqu!B43</f>
        <v>37</v>
      </c>
      <c r="C47" s="94" t="str">
        <f>IF(CadEqu!F43="","",CadEqu!F43)</f>
        <v/>
      </c>
      <c r="D47" s="97" t="str">
        <f>IF(C47="","",IFERROR(IF(SUMIFS(tbLancamentos[Tempo indisponível],tbLancamentos[Equipamento],$C47,tbLancamentos[Momento da falha],"&gt;="&amp;$C$7,tbLancamentos[Momento da falha],"&lt;="&amp;$D$7)&gt;$E$7,$E$7,SUMIFS(tbLancamentos[Tempo indisponível],tbLancamentos[Equipamento],$C47,tbLancamentos[Momento da falha],"&gt;="&amp;$C$7,tbLancamentos[Momento da falha],"&lt;="&amp;$D$7)),""))</f>
        <v/>
      </c>
      <c r="E47" s="97" t="str">
        <f>IF(C47="","",IFERROR(SUMIFS(tbLancamentos[Meta tempo reparo],tbLancamentos[Equipamento],$C47,tbLancamentos[Momento da falha],"&gt;="&amp;$C$7,tbLancamentos[Momento da falha],"&lt;="&amp;$D$7),""))</f>
        <v/>
      </c>
      <c r="F47" s="97" t="str">
        <f>IF(C47="","",IFERROR(SUMIFS(tbLancamentos[Tempo devido],tbLancamentos[Equipamento],$C47,tbLancamentos[Momento da falha],"&gt;="&amp;$C$7,tbLancamentos[Momento da falha],"&lt;="&amp;$D$7),""))</f>
        <v/>
      </c>
      <c r="G4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" s="127" t="str">
        <f t="shared" si="2"/>
        <v/>
      </c>
    </row>
    <row r="48" spans="2:9" ht="20.100000000000001" customHeight="1" x14ac:dyDescent="0.25">
      <c r="B48" s="94">
        <f>CadEqu!B44</f>
        <v>38</v>
      </c>
      <c r="C48" s="94" t="str">
        <f>IF(CadEqu!F44="","",CadEqu!F44)</f>
        <v/>
      </c>
      <c r="D48" s="97" t="str">
        <f>IF(C48="","",IFERROR(IF(SUMIFS(tbLancamentos[Tempo indisponível],tbLancamentos[Equipamento],$C48,tbLancamentos[Momento da falha],"&gt;="&amp;$C$7,tbLancamentos[Momento da falha],"&lt;="&amp;$D$7)&gt;$E$7,$E$7,SUMIFS(tbLancamentos[Tempo indisponível],tbLancamentos[Equipamento],$C48,tbLancamentos[Momento da falha],"&gt;="&amp;$C$7,tbLancamentos[Momento da falha],"&lt;="&amp;$D$7)),""))</f>
        <v/>
      </c>
      <c r="E48" s="97" t="str">
        <f>IF(C48="","",IFERROR(SUMIFS(tbLancamentos[Meta tempo reparo],tbLancamentos[Equipamento],$C48,tbLancamentos[Momento da falha],"&gt;="&amp;$C$7,tbLancamentos[Momento da falha],"&lt;="&amp;$D$7),""))</f>
        <v/>
      </c>
      <c r="F48" s="97" t="str">
        <f>IF(C48="","",IFERROR(SUMIFS(tbLancamentos[Tempo devido],tbLancamentos[Equipamento],$C48,tbLancamentos[Momento da falha],"&gt;="&amp;$C$7,tbLancamentos[Momento da falha],"&lt;="&amp;$D$7),""))</f>
        <v/>
      </c>
      <c r="G4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" s="127" t="str">
        <f t="shared" si="2"/>
        <v/>
      </c>
    </row>
    <row r="49" spans="2:9" ht="20.100000000000001" customHeight="1" x14ac:dyDescent="0.25">
      <c r="B49" s="94">
        <f>CadEqu!B45</f>
        <v>39</v>
      </c>
      <c r="C49" s="94" t="str">
        <f>IF(CadEqu!F45="","",CadEqu!F45)</f>
        <v/>
      </c>
      <c r="D49" s="97" t="str">
        <f>IF(C49="","",IFERROR(IF(SUMIFS(tbLancamentos[Tempo indisponível],tbLancamentos[Equipamento],$C49,tbLancamentos[Momento da falha],"&gt;="&amp;$C$7,tbLancamentos[Momento da falha],"&lt;="&amp;$D$7)&gt;$E$7,$E$7,SUMIFS(tbLancamentos[Tempo indisponível],tbLancamentos[Equipamento],$C49,tbLancamentos[Momento da falha],"&gt;="&amp;$C$7,tbLancamentos[Momento da falha],"&lt;="&amp;$D$7)),""))</f>
        <v/>
      </c>
      <c r="E49" s="97" t="str">
        <f>IF(C49="","",IFERROR(SUMIFS(tbLancamentos[Meta tempo reparo],tbLancamentos[Equipamento],$C49,tbLancamentos[Momento da falha],"&gt;="&amp;$C$7,tbLancamentos[Momento da falha],"&lt;="&amp;$D$7),""))</f>
        <v/>
      </c>
      <c r="F49" s="97" t="str">
        <f>IF(C49="","",IFERROR(SUMIFS(tbLancamentos[Tempo devido],tbLancamentos[Equipamento],$C49,tbLancamentos[Momento da falha],"&gt;="&amp;$C$7,tbLancamentos[Momento da falha],"&lt;="&amp;$D$7),""))</f>
        <v/>
      </c>
      <c r="G4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" s="127" t="str">
        <f t="shared" si="2"/>
        <v/>
      </c>
    </row>
    <row r="50" spans="2:9" ht="20.100000000000001" customHeight="1" x14ac:dyDescent="0.25">
      <c r="B50" s="94">
        <f>CadEqu!B46</f>
        <v>40</v>
      </c>
      <c r="C50" s="94" t="str">
        <f>IF(CadEqu!F46="","",CadEqu!F46)</f>
        <v/>
      </c>
      <c r="D50" s="97" t="str">
        <f>IF(C50="","",IFERROR(IF(SUMIFS(tbLancamentos[Tempo indisponível],tbLancamentos[Equipamento],$C50,tbLancamentos[Momento da falha],"&gt;="&amp;$C$7,tbLancamentos[Momento da falha],"&lt;="&amp;$D$7)&gt;$E$7,$E$7,SUMIFS(tbLancamentos[Tempo indisponível],tbLancamentos[Equipamento],$C50,tbLancamentos[Momento da falha],"&gt;="&amp;$C$7,tbLancamentos[Momento da falha],"&lt;="&amp;$D$7)),""))</f>
        <v/>
      </c>
      <c r="E50" s="97" t="str">
        <f>IF(C50="","",IFERROR(SUMIFS(tbLancamentos[Meta tempo reparo],tbLancamentos[Equipamento],$C50,tbLancamentos[Momento da falha],"&gt;="&amp;$C$7,tbLancamentos[Momento da falha],"&lt;="&amp;$D$7),""))</f>
        <v/>
      </c>
      <c r="F50" s="97" t="str">
        <f>IF(C50="","",IFERROR(SUMIFS(tbLancamentos[Tempo devido],tbLancamentos[Equipamento],$C50,tbLancamentos[Momento da falha],"&gt;="&amp;$C$7,tbLancamentos[Momento da falha],"&lt;="&amp;$D$7),""))</f>
        <v/>
      </c>
      <c r="G5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" s="127" t="str">
        <f t="shared" si="2"/>
        <v/>
      </c>
    </row>
    <row r="51" spans="2:9" ht="20.100000000000001" customHeight="1" x14ac:dyDescent="0.25">
      <c r="B51" s="94">
        <f>CadEqu!B47</f>
        <v>41</v>
      </c>
      <c r="C51" s="94" t="str">
        <f>IF(CadEqu!F47="","",CadEqu!F47)</f>
        <v/>
      </c>
      <c r="D51" s="97" t="str">
        <f>IF(C51="","",IFERROR(IF(SUMIFS(tbLancamentos[Tempo indisponível],tbLancamentos[Equipamento],$C51,tbLancamentos[Momento da falha],"&gt;="&amp;$C$7,tbLancamentos[Momento da falha],"&lt;="&amp;$D$7)&gt;$E$7,$E$7,SUMIFS(tbLancamentos[Tempo indisponível],tbLancamentos[Equipamento],$C51,tbLancamentos[Momento da falha],"&gt;="&amp;$C$7,tbLancamentos[Momento da falha],"&lt;="&amp;$D$7)),""))</f>
        <v/>
      </c>
      <c r="E51" s="97" t="str">
        <f>IF(C51="","",IFERROR(SUMIFS(tbLancamentos[Meta tempo reparo],tbLancamentos[Equipamento],$C51,tbLancamentos[Momento da falha],"&gt;="&amp;$C$7,tbLancamentos[Momento da falha],"&lt;="&amp;$D$7),""))</f>
        <v/>
      </c>
      <c r="F51" s="97" t="str">
        <f>IF(C51="","",IFERROR(SUMIFS(tbLancamentos[Tempo devido],tbLancamentos[Equipamento],$C51,tbLancamentos[Momento da falha],"&gt;="&amp;$C$7,tbLancamentos[Momento da falha],"&lt;="&amp;$D$7),""))</f>
        <v/>
      </c>
      <c r="G5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1" s="127" t="str">
        <f t="shared" si="2"/>
        <v/>
      </c>
    </row>
    <row r="52" spans="2:9" ht="20.100000000000001" customHeight="1" x14ac:dyDescent="0.25">
      <c r="B52" s="94">
        <f>CadEqu!B48</f>
        <v>42</v>
      </c>
      <c r="C52" s="94" t="str">
        <f>IF(CadEqu!F48="","",CadEqu!F48)</f>
        <v/>
      </c>
      <c r="D52" s="97" t="str">
        <f>IF(C52="","",IFERROR(IF(SUMIFS(tbLancamentos[Tempo indisponível],tbLancamentos[Equipamento],$C52,tbLancamentos[Momento da falha],"&gt;="&amp;$C$7,tbLancamentos[Momento da falha],"&lt;="&amp;$D$7)&gt;$E$7,$E$7,SUMIFS(tbLancamentos[Tempo indisponível],tbLancamentos[Equipamento],$C52,tbLancamentos[Momento da falha],"&gt;="&amp;$C$7,tbLancamentos[Momento da falha],"&lt;="&amp;$D$7)),""))</f>
        <v/>
      </c>
      <c r="E52" s="97" t="str">
        <f>IF(C52="","",IFERROR(SUMIFS(tbLancamentos[Meta tempo reparo],tbLancamentos[Equipamento],$C52,tbLancamentos[Momento da falha],"&gt;="&amp;$C$7,tbLancamentos[Momento da falha],"&lt;="&amp;$D$7),""))</f>
        <v/>
      </c>
      <c r="F52" s="97" t="str">
        <f>IF(C52="","",IFERROR(SUMIFS(tbLancamentos[Tempo devido],tbLancamentos[Equipamento],$C52,tbLancamentos[Momento da falha],"&gt;="&amp;$C$7,tbLancamentos[Momento da falha],"&lt;="&amp;$D$7),""))</f>
        <v/>
      </c>
      <c r="G5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2" s="127" t="str">
        <f t="shared" si="2"/>
        <v/>
      </c>
    </row>
    <row r="53" spans="2:9" ht="20.100000000000001" customHeight="1" x14ac:dyDescent="0.25">
      <c r="B53" s="94">
        <f>CadEqu!B49</f>
        <v>43</v>
      </c>
      <c r="C53" s="94" t="str">
        <f>IF(CadEqu!F49="","",CadEqu!F49)</f>
        <v/>
      </c>
      <c r="D53" s="97" t="str">
        <f>IF(C53="","",IFERROR(IF(SUMIFS(tbLancamentos[Tempo indisponível],tbLancamentos[Equipamento],$C53,tbLancamentos[Momento da falha],"&gt;="&amp;$C$7,tbLancamentos[Momento da falha],"&lt;="&amp;$D$7)&gt;$E$7,$E$7,SUMIFS(tbLancamentos[Tempo indisponível],tbLancamentos[Equipamento],$C53,tbLancamentos[Momento da falha],"&gt;="&amp;$C$7,tbLancamentos[Momento da falha],"&lt;="&amp;$D$7)),""))</f>
        <v/>
      </c>
      <c r="E53" s="97" t="str">
        <f>IF(C53="","",IFERROR(SUMIFS(tbLancamentos[Meta tempo reparo],tbLancamentos[Equipamento],$C53,tbLancamentos[Momento da falha],"&gt;="&amp;$C$7,tbLancamentos[Momento da falha],"&lt;="&amp;$D$7),""))</f>
        <v/>
      </c>
      <c r="F53" s="97" t="str">
        <f>IF(C53="","",IFERROR(SUMIFS(tbLancamentos[Tempo devido],tbLancamentos[Equipamento],$C53,tbLancamentos[Momento da falha],"&gt;="&amp;$C$7,tbLancamentos[Momento da falha],"&lt;="&amp;$D$7),""))</f>
        <v/>
      </c>
      <c r="G5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3" s="127" t="str">
        <f t="shared" si="2"/>
        <v/>
      </c>
    </row>
    <row r="54" spans="2:9" ht="20.100000000000001" customHeight="1" x14ac:dyDescent="0.25">
      <c r="B54" s="94">
        <f>CadEqu!B50</f>
        <v>44</v>
      </c>
      <c r="C54" s="94" t="str">
        <f>IF(CadEqu!F50="","",CadEqu!F50)</f>
        <v/>
      </c>
      <c r="D54" s="97" t="str">
        <f>IF(C54="","",IFERROR(IF(SUMIFS(tbLancamentos[Tempo indisponível],tbLancamentos[Equipamento],$C54,tbLancamentos[Momento da falha],"&gt;="&amp;$C$7,tbLancamentos[Momento da falha],"&lt;="&amp;$D$7)&gt;$E$7,$E$7,SUMIFS(tbLancamentos[Tempo indisponível],tbLancamentos[Equipamento],$C54,tbLancamentos[Momento da falha],"&gt;="&amp;$C$7,tbLancamentos[Momento da falha],"&lt;="&amp;$D$7)),""))</f>
        <v/>
      </c>
      <c r="E54" s="97" t="str">
        <f>IF(C54="","",IFERROR(SUMIFS(tbLancamentos[Meta tempo reparo],tbLancamentos[Equipamento],$C54,tbLancamentos[Momento da falha],"&gt;="&amp;$C$7,tbLancamentos[Momento da falha],"&lt;="&amp;$D$7),""))</f>
        <v/>
      </c>
      <c r="F54" s="97" t="str">
        <f>IF(C54="","",IFERROR(SUMIFS(tbLancamentos[Tempo devido],tbLancamentos[Equipamento],$C54,tbLancamentos[Momento da falha],"&gt;="&amp;$C$7,tbLancamentos[Momento da falha],"&lt;="&amp;$D$7),""))</f>
        <v/>
      </c>
      <c r="G5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4" s="127" t="str">
        <f t="shared" si="2"/>
        <v/>
      </c>
    </row>
    <row r="55" spans="2:9" ht="20.100000000000001" customHeight="1" x14ac:dyDescent="0.25">
      <c r="B55" s="94">
        <f>CadEqu!B51</f>
        <v>45</v>
      </c>
      <c r="C55" s="94" t="str">
        <f>IF(CadEqu!F51="","",CadEqu!F51)</f>
        <v/>
      </c>
      <c r="D55" s="97" t="str">
        <f>IF(C55="","",IFERROR(IF(SUMIFS(tbLancamentos[Tempo indisponível],tbLancamentos[Equipamento],$C55,tbLancamentos[Momento da falha],"&gt;="&amp;$C$7,tbLancamentos[Momento da falha],"&lt;="&amp;$D$7)&gt;$E$7,$E$7,SUMIFS(tbLancamentos[Tempo indisponível],tbLancamentos[Equipamento],$C55,tbLancamentos[Momento da falha],"&gt;="&amp;$C$7,tbLancamentos[Momento da falha],"&lt;="&amp;$D$7)),""))</f>
        <v/>
      </c>
      <c r="E55" s="97" t="str">
        <f>IF(C55="","",IFERROR(SUMIFS(tbLancamentos[Meta tempo reparo],tbLancamentos[Equipamento],$C55,tbLancamentos[Momento da falha],"&gt;="&amp;$C$7,tbLancamentos[Momento da falha],"&lt;="&amp;$D$7),""))</f>
        <v/>
      </c>
      <c r="F55" s="97" t="str">
        <f>IF(C55="","",IFERROR(SUMIFS(tbLancamentos[Tempo devido],tbLancamentos[Equipamento],$C55,tbLancamentos[Momento da falha],"&gt;="&amp;$C$7,tbLancamentos[Momento da falha],"&lt;="&amp;$D$7),""))</f>
        <v/>
      </c>
      <c r="G5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5" s="127" t="str">
        <f t="shared" si="2"/>
        <v/>
      </c>
    </row>
    <row r="56" spans="2:9" ht="20.100000000000001" customHeight="1" x14ac:dyDescent="0.25">
      <c r="B56" s="94">
        <f>CadEqu!B52</f>
        <v>46</v>
      </c>
      <c r="C56" s="94" t="str">
        <f>IF(CadEqu!F52="","",CadEqu!F52)</f>
        <v/>
      </c>
      <c r="D56" s="97" t="str">
        <f>IF(C56="","",IFERROR(IF(SUMIFS(tbLancamentos[Tempo indisponível],tbLancamentos[Equipamento],$C56,tbLancamentos[Momento da falha],"&gt;="&amp;$C$7,tbLancamentos[Momento da falha],"&lt;="&amp;$D$7)&gt;$E$7,$E$7,SUMIFS(tbLancamentos[Tempo indisponível],tbLancamentos[Equipamento],$C56,tbLancamentos[Momento da falha],"&gt;="&amp;$C$7,tbLancamentos[Momento da falha],"&lt;="&amp;$D$7)),""))</f>
        <v/>
      </c>
      <c r="E56" s="97" t="str">
        <f>IF(C56="","",IFERROR(SUMIFS(tbLancamentos[Meta tempo reparo],tbLancamentos[Equipamento],$C56,tbLancamentos[Momento da falha],"&gt;="&amp;$C$7,tbLancamentos[Momento da falha],"&lt;="&amp;$D$7),""))</f>
        <v/>
      </c>
      <c r="F56" s="97" t="str">
        <f>IF(C56="","",IFERROR(SUMIFS(tbLancamentos[Tempo devido],tbLancamentos[Equipamento],$C56,tbLancamentos[Momento da falha],"&gt;="&amp;$C$7,tbLancamentos[Momento da falha],"&lt;="&amp;$D$7),""))</f>
        <v/>
      </c>
      <c r="G5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6" s="127" t="str">
        <f t="shared" si="2"/>
        <v/>
      </c>
    </row>
    <row r="57" spans="2:9" ht="20.100000000000001" customHeight="1" x14ac:dyDescent="0.25">
      <c r="B57" s="94">
        <f>CadEqu!B53</f>
        <v>47</v>
      </c>
      <c r="C57" s="94" t="str">
        <f>IF(CadEqu!F53="","",CadEqu!F53)</f>
        <v/>
      </c>
      <c r="D57" s="97" t="str">
        <f>IF(C57="","",IFERROR(IF(SUMIFS(tbLancamentos[Tempo indisponível],tbLancamentos[Equipamento],$C57,tbLancamentos[Momento da falha],"&gt;="&amp;$C$7,tbLancamentos[Momento da falha],"&lt;="&amp;$D$7)&gt;$E$7,$E$7,SUMIFS(tbLancamentos[Tempo indisponível],tbLancamentos[Equipamento],$C57,tbLancamentos[Momento da falha],"&gt;="&amp;$C$7,tbLancamentos[Momento da falha],"&lt;="&amp;$D$7)),""))</f>
        <v/>
      </c>
      <c r="E57" s="97" t="str">
        <f>IF(C57="","",IFERROR(SUMIFS(tbLancamentos[Meta tempo reparo],tbLancamentos[Equipamento],$C57,tbLancamentos[Momento da falha],"&gt;="&amp;$C$7,tbLancamentos[Momento da falha],"&lt;="&amp;$D$7),""))</f>
        <v/>
      </c>
      <c r="F57" s="97" t="str">
        <f>IF(C57="","",IFERROR(SUMIFS(tbLancamentos[Tempo devido],tbLancamentos[Equipamento],$C57,tbLancamentos[Momento da falha],"&gt;="&amp;$C$7,tbLancamentos[Momento da falha],"&lt;="&amp;$D$7),""))</f>
        <v/>
      </c>
      <c r="G5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7" s="127" t="str">
        <f t="shared" si="2"/>
        <v/>
      </c>
    </row>
    <row r="58" spans="2:9" ht="20.100000000000001" customHeight="1" x14ac:dyDescent="0.25">
      <c r="B58" s="94">
        <f>CadEqu!B54</f>
        <v>48</v>
      </c>
      <c r="C58" s="94" t="str">
        <f>IF(CadEqu!F54="","",CadEqu!F54)</f>
        <v/>
      </c>
      <c r="D58" s="97" t="str">
        <f>IF(C58="","",IFERROR(IF(SUMIFS(tbLancamentos[Tempo indisponível],tbLancamentos[Equipamento],$C58,tbLancamentos[Momento da falha],"&gt;="&amp;$C$7,tbLancamentos[Momento da falha],"&lt;="&amp;$D$7)&gt;$E$7,$E$7,SUMIFS(tbLancamentos[Tempo indisponível],tbLancamentos[Equipamento],$C58,tbLancamentos[Momento da falha],"&gt;="&amp;$C$7,tbLancamentos[Momento da falha],"&lt;="&amp;$D$7)),""))</f>
        <v/>
      </c>
      <c r="E58" s="97" t="str">
        <f>IF(C58="","",IFERROR(SUMIFS(tbLancamentos[Meta tempo reparo],tbLancamentos[Equipamento],$C58,tbLancamentos[Momento da falha],"&gt;="&amp;$C$7,tbLancamentos[Momento da falha],"&lt;="&amp;$D$7),""))</f>
        <v/>
      </c>
      <c r="F58" s="97" t="str">
        <f>IF(C58="","",IFERROR(SUMIFS(tbLancamentos[Tempo devido],tbLancamentos[Equipamento],$C58,tbLancamentos[Momento da falha],"&gt;="&amp;$C$7,tbLancamentos[Momento da falha],"&lt;="&amp;$D$7),""))</f>
        <v/>
      </c>
      <c r="G5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8" s="127" t="str">
        <f t="shared" si="2"/>
        <v/>
      </c>
    </row>
    <row r="59" spans="2:9" ht="20.100000000000001" customHeight="1" x14ac:dyDescent="0.25">
      <c r="B59" s="94">
        <f>CadEqu!B55</f>
        <v>49</v>
      </c>
      <c r="C59" s="94" t="str">
        <f>IF(CadEqu!F55="","",CadEqu!F55)</f>
        <v/>
      </c>
      <c r="D59" s="97" t="str">
        <f>IF(C59="","",IFERROR(IF(SUMIFS(tbLancamentos[Tempo indisponível],tbLancamentos[Equipamento],$C59,tbLancamentos[Momento da falha],"&gt;="&amp;$C$7,tbLancamentos[Momento da falha],"&lt;="&amp;$D$7)&gt;$E$7,$E$7,SUMIFS(tbLancamentos[Tempo indisponível],tbLancamentos[Equipamento],$C59,tbLancamentos[Momento da falha],"&gt;="&amp;$C$7,tbLancamentos[Momento da falha],"&lt;="&amp;$D$7)),""))</f>
        <v/>
      </c>
      <c r="E59" s="97" t="str">
        <f>IF(C59="","",IFERROR(SUMIFS(tbLancamentos[Meta tempo reparo],tbLancamentos[Equipamento],$C59,tbLancamentos[Momento da falha],"&gt;="&amp;$C$7,tbLancamentos[Momento da falha],"&lt;="&amp;$D$7),""))</f>
        <v/>
      </c>
      <c r="F59" s="97" t="str">
        <f>IF(C59="","",IFERROR(SUMIFS(tbLancamentos[Tempo devido],tbLancamentos[Equipamento],$C59,tbLancamentos[Momento da falha],"&gt;="&amp;$C$7,tbLancamentos[Momento da falha],"&lt;="&amp;$D$7),""))</f>
        <v/>
      </c>
      <c r="G5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9" s="127" t="str">
        <f t="shared" si="2"/>
        <v/>
      </c>
    </row>
    <row r="60" spans="2:9" ht="20.100000000000001" customHeight="1" x14ac:dyDescent="0.25">
      <c r="B60" s="94">
        <f>CadEqu!B56</f>
        <v>50</v>
      </c>
      <c r="C60" s="94" t="str">
        <f>IF(CadEqu!F56="","",CadEqu!F56)</f>
        <v/>
      </c>
      <c r="D60" s="97" t="str">
        <f>IF(C60="","",IFERROR(IF(SUMIFS(tbLancamentos[Tempo indisponível],tbLancamentos[Equipamento],$C60,tbLancamentos[Momento da falha],"&gt;="&amp;$C$7,tbLancamentos[Momento da falha],"&lt;="&amp;$D$7)&gt;$E$7,$E$7,SUMIFS(tbLancamentos[Tempo indisponível],tbLancamentos[Equipamento],$C60,tbLancamentos[Momento da falha],"&gt;="&amp;$C$7,tbLancamentos[Momento da falha],"&lt;="&amp;$D$7)),""))</f>
        <v/>
      </c>
      <c r="E60" s="97" t="str">
        <f>IF(C60="","",IFERROR(SUMIFS(tbLancamentos[Meta tempo reparo],tbLancamentos[Equipamento],$C60,tbLancamentos[Momento da falha],"&gt;="&amp;$C$7,tbLancamentos[Momento da falha],"&lt;="&amp;$D$7),""))</f>
        <v/>
      </c>
      <c r="F60" s="97" t="str">
        <f>IF(C60="","",IFERROR(SUMIFS(tbLancamentos[Tempo devido],tbLancamentos[Equipamento],$C60,tbLancamentos[Momento da falha],"&gt;="&amp;$C$7,tbLancamentos[Momento da falha],"&lt;="&amp;$D$7),""))</f>
        <v/>
      </c>
      <c r="G6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0" s="127" t="str">
        <f t="shared" si="2"/>
        <v/>
      </c>
    </row>
    <row r="61" spans="2:9" ht="20.100000000000001" customHeight="1" x14ac:dyDescent="0.25">
      <c r="B61" s="94">
        <f>CadEqu!B57</f>
        <v>51</v>
      </c>
      <c r="C61" s="94" t="str">
        <f>IF(CadEqu!F57="","",CadEqu!F57)</f>
        <v/>
      </c>
      <c r="D61" s="97" t="str">
        <f>IF(C61="","",IFERROR(IF(SUMIFS(tbLancamentos[Tempo indisponível],tbLancamentos[Equipamento],$C61,tbLancamentos[Momento da falha],"&gt;="&amp;$C$7,tbLancamentos[Momento da falha],"&lt;="&amp;$D$7)&gt;$E$7,$E$7,SUMIFS(tbLancamentos[Tempo indisponível],tbLancamentos[Equipamento],$C61,tbLancamentos[Momento da falha],"&gt;="&amp;$C$7,tbLancamentos[Momento da falha],"&lt;="&amp;$D$7)),""))</f>
        <v/>
      </c>
      <c r="E61" s="97" t="str">
        <f>IF(C61="","",IFERROR(SUMIFS(tbLancamentos[Meta tempo reparo],tbLancamentos[Equipamento],$C61,tbLancamentos[Momento da falha],"&gt;="&amp;$C$7,tbLancamentos[Momento da falha],"&lt;="&amp;$D$7),""))</f>
        <v/>
      </c>
      <c r="F61" s="97" t="str">
        <f>IF(C61="","",IFERROR(SUMIFS(tbLancamentos[Tempo devido],tbLancamentos[Equipamento],$C61,tbLancamentos[Momento da falha],"&gt;="&amp;$C$7,tbLancamentos[Momento da falha],"&lt;="&amp;$D$7),""))</f>
        <v/>
      </c>
      <c r="G6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1" s="127" t="str">
        <f t="shared" si="2"/>
        <v/>
      </c>
    </row>
    <row r="62" spans="2:9" ht="20.100000000000001" customHeight="1" x14ac:dyDescent="0.25">
      <c r="B62" s="94">
        <f>CadEqu!B58</f>
        <v>52</v>
      </c>
      <c r="C62" s="94" t="str">
        <f>IF(CadEqu!F58="","",CadEqu!F58)</f>
        <v/>
      </c>
      <c r="D62" s="97" t="str">
        <f>IF(C62="","",IFERROR(IF(SUMIFS(tbLancamentos[Tempo indisponível],tbLancamentos[Equipamento],$C62,tbLancamentos[Momento da falha],"&gt;="&amp;$C$7,tbLancamentos[Momento da falha],"&lt;="&amp;$D$7)&gt;$E$7,$E$7,SUMIFS(tbLancamentos[Tempo indisponível],tbLancamentos[Equipamento],$C62,tbLancamentos[Momento da falha],"&gt;="&amp;$C$7,tbLancamentos[Momento da falha],"&lt;="&amp;$D$7)),""))</f>
        <v/>
      </c>
      <c r="E62" s="97" t="str">
        <f>IF(C62="","",IFERROR(SUMIFS(tbLancamentos[Meta tempo reparo],tbLancamentos[Equipamento],$C62,tbLancamentos[Momento da falha],"&gt;="&amp;$C$7,tbLancamentos[Momento da falha],"&lt;="&amp;$D$7),""))</f>
        <v/>
      </c>
      <c r="F62" s="97" t="str">
        <f>IF(C62="","",IFERROR(SUMIFS(tbLancamentos[Tempo devido],tbLancamentos[Equipamento],$C62,tbLancamentos[Momento da falha],"&gt;="&amp;$C$7,tbLancamentos[Momento da falha],"&lt;="&amp;$D$7),""))</f>
        <v/>
      </c>
      <c r="G6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2" s="127" t="str">
        <f t="shared" si="2"/>
        <v/>
      </c>
    </row>
    <row r="63" spans="2:9" ht="20.100000000000001" customHeight="1" x14ac:dyDescent="0.25">
      <c r="B63" s="94">
        <f>CadEqu!B59</f>
        <v>53</v>
      </c>
      <c r="C63" s="94" t="str">
        <f>IF(CadEqu!F59="","",CadEqu!F59)</f>
        <v/>
      </c>
      <c r="D63" s="97" t="str">
        <f>IF(C63="","",IFERROR(IF(SUMIFS(tbLancamentos[Tempo indisponível],tbLancamentos[Equipamento],$C63,tbLancamentos[Momento da falha],"&gt;="&amp;$C$7,tbLancamentos[Momento da falha],"&lt;="&amp;$D$7)&gt;$E$7,$E$7,SUMIFS(tbLancamentos[Tempo indisponível],tbLancamentos[Equipamento],$C63,tbLancamentos[Momento da falha],"&gt;="&amp;$C$7,tbLancamentos[Momento da falha],"&lt;="&amp;$D$7)),""))</f>
        <v/>
      </c>
      <c r="E63" s="97" t="str">
        <f>IF(C63="","",IFERROR(SUMIFS(tbLancamentos[Meta tempo reparo],tbLancamentos[Equipamento],$C63,tbLancamentos[Momento da falha],"&gt;="&amp;$C$7,tbLancamentos[Momento da falha],"&lt;="&amp;$D$7),""))</f>
        <v/>
      </c>
      <c r="F63" s="97" t="str">
        <f>IF(C63="","",IFERROR(SUMIFS(tbLancamentos[Tempo devido],tbLancamentos[Equipamento],$C63,tbLancamentos[Momento da falha],"&gt;="&amp;$C$7,tbLancamentos[Momento da falha],"&lt;="&amp;$D$7),""))</f>
        <v/>
      </c>
      <c r="G6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3" s="127" t="str">
        <f t="shared" si="2"/>
        <v/>
      </c>
    </row>
    <row r="64" spans="2:9" ht="20.100000000000001" customHeight="1" x14ac:dyDescent="0.25">
      <c r="B64" s="94">
        <f>CadEqu!B60</f>
        <v>54</v>
      </c>
      <c r="C64" s="94" t="str">
        <f>IF(CadEqu!F60="","",CadEqu!F60)</f>
        <v/>
      </c>
      <c r="D64" s="97" t="str">
        <f>IF(C64="","",IFERROR(IF(SUMIFS(tbLancamentos[Tempo indisponível],tbLancamentos[Equipamento],$C64,tbLancamentos[Momento da falha],"&gt;="&amp;$C$7,tbLancamentos[Momento da falha],"&lt;="&amp;$D$7)&gt;$E$7,$E$7,SUMIFS(tbLancamentos[Tempo indisponível],tbLancamentos[Equipamento],$C64,tbLancamentos[Momento da falha],"&gt;="&amp;$C$7,tbLancamentos[Momento da falha],"&lt;="&amp;$D$7)),""))</f>
        <v/>
      </c>
      <c r="E64" s="97" t="str">
        <f>IF(C64="","",IFERROR(SUMIFS(tbLancamentos[Meta tempo reparo],tbLancamentos[Equipamento],$C64,tbLancamentos[Momento da falha],"&gt;="&amp;$C$7,tbLancamentos[Momento da falha],"&lt;="&amp;$D$7),""))</f>
        <v/>
      </c>
      <c r="F64" s="97" t="str">
        <f>IF(C64="","",IFERROR(SUMIFS(tbLancamentos[Tempo devido],tbLancamentos[Equipamento],$C64,tbLancamentos[Momento da falha],"&gt;="&amp;$C$7,tbLancamentos[Momento da falha],"&lt;="&amp;$D$7),""))</f>
        <v/>
      </c>
      <c r="G6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4" s="127" t="str">
        <f t="shared" si="2"/>
        <v/>
      </c>
    </row>
    <row r="65" spans="2:9" ht="20.100000000000001" customHeight="1" x14ac:dyDescent="0.25">
      <c r="B65" s="94">
        <f>CadEqu!B61</f>
        <v>55</v>
      </c>
      <c r="C65" s="94" t="str">
        <f>IF(CadEqu!F61="","",CadEqu!F61)</f>
        <v/>
      </c>
      <c r="D65" s="97" t="str">
        <f>IF(C65="","",IFERROR(IF(SUMIFS(tbLancamentos[Tempo indisponível],tbLancamentos[Equipamento],$C65,tbLancamentos[Momento da falha],"&gt;="&amp;$C$7,tbLancamentos[Momento da falha],"&lt;="&amp;$D$7)&gt;$E$7,$E$7,SUMIFS(tbLancamentos[Tempo indisponível],tbLancamentos[Equipamento],$C65,tbLancamentos[Momento da falha],"&gt;="&amp;$C$7,tbLancamentos[Momento da falha],"&lt;="&amp;$D$7)),""))</f>
        <v/>
      </c>
      <c r="E65" s="97" t="str">
        <f>IF(C65="","",IFERROR(SUMIFS(tbLancamentos[Meta tempo reparo],tbLancamentos[Equipamento],$C65,tbLancamentos[Momento da falha],"&gt;="&amp;$C$7,tbLancamentos[Momento da falha],"&lt;="&amp;$D$7),""))</f>
        <v/>
      </c>
      <c r="F65" s="97" t="str">
        <f>IF(C65="","",IFERROR(SUMIFS(tbLancamentos[Tempo devido],tbLancamentos[Equipamento],$C65,tbLancamentos[Momento da falha],"&gt;="&amp;$C$7,tbLancamentos[Momento da falha],"&lt;="&amp;$D$7),""))</f>
        <v/>
      </c>
      <c r="G6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5" s="127" t="str">
        <f t="shared" si="2"/>
        <v/>
      </c>
    </row>
    <row r="66" spans="2:9" ht="20.100000000000001" customHeight="1" x14ac:dyDescent="0.25">
      <c r="B66" s="94">
        <f>CadEqu!B62</f>
        <v>56</v>
      </c>
      <c r="C66" s="94" t="str">
        <f>IF(CadEqu!F62="","",CadEqu!F62)</f>
        <v/>
      </c>
      <c r="D66" s="97" t="str">
        <f>IF(C66="","",IFERROR(IF(SUMIFS(tbLancamentos[Tempo indisponível],tbLancamentos[Equipamento],$C66,tbLancamentos[Momento da falha],"&gt;="&amp;$C$7,tbLancamentos[Momento da falha],"&lt;="&amp;$D$7)&gt;$E$7,$E$7,SUMIFS(tbLancamentos[Tempo indisponível],tbLancamentos[Equipamento],$C66,tbLancamentos[Momento da falha],"&gt;="&amp;$C$7,tbLancamentos[Momento da falha],"&lt;="&amp;$D$7)),""))</f>
        <v/>
      </c>
      <c r="E66" s="97" t="str">
        <f>IF(C66="","",IFERROR(SUMIFS(tbLancamentos[Meta tempo reparo],tbLancamentos[Equipamento],$C66,tbLancamentos[Momento da falha],"&gt;="&amp;$C$7,tbLancamentos[Momento da falha],"&lt;="&amp;$D$7),""))</f>
        <v/>
      </c>
      <c r="F66" s="97" t="str">
        <f>IF(C66="","",IFERROR(SUMIFS(tbLancamentos[Tempo devido],tbLancamentos[Equipamento],$C66,tbLancamentos[Momento da falha],"&gt;="&amp;$C$7,tbLancamentos[Momento da falha],"&lt;="&amp;$D$7),""))</f>
        <v/>
      </c>
      <c r="G6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6" s="127" t="str">
        <f t="shared" si="2"/>
        <v/>
      </c>
    </row>
    <row r="67" spans="2:9" ht="20.100000000000001" customHeight="1" x14ac:dyDescent="0.25">
      <c r="B67" s="94">
        <f>CadEqu!B63</f>
        <v>57</v>
      </c>
      <c r="C67" s="94" t="str">
        <f>IF(CadEqu!F63="","",CadEqu!F63)</f>
        <v/>
      </c>
      <c r="D67" s="97" t="str">
        <f>IF(C67="","",IFERROR(IF(SUMIFS(tbLancamentos[Tempo indisponível],tbLancamentos[Equipamento],$C67,tbLancamentos[Momento da falha],"&gt;="&amp;$C$7,tbLancamentos[Momento da falha],"&lt;="&amp;$D$7)&gt;$E$7,$E$7,SUMIFS(tbLancamentos[Tempo indisponível],tbLancamentos[Equipamento],$C67,tbLancamentos[Momento da falha],"&gt;="&amp;$C$7,tbLancamentos[Momento da falha],"&lt;="&amp;$D$7)),""))</f>
        <v/>
      </c>
      <c r="E67" s="97" t="str">
        <f>IF(C67="","",IFERROR(SUMIFS(tbLancamentos[Meta tempo reparo],tbLancamentos[Equipamento],$C67,tbLancamentos[Momento da falha],"&gt;="&amp;$C$7,tbLancamentos[Momento da falha],"&lt;="&amp;$D$7),""))</f>
        <v/>
      </c>
      <c r="F67" s="97" t="str">
        <f>IF(C67="","",IFERROR(SUMIFS(tbLancamentos[Tempo devido],tbLancamentos[Equipamento],$C67,tbLancamentos[Momento da falha],"&gt;="&amp;$C$7,tbLancamentos[Momento da falha],"&lt;="&amp;$D$7),""))</f>
        <v/>
      </c>
      <c r="G6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7" s="127" t="str">
        <f t="shared" si="2"/>
        <v/>
      </c>
    </row>
    <row r="68" spans="2:9" ht="20.100000000000001" customHeight="1" x14ac:dyDescent="0.25">
      <c r="B68" s="94">
        <f>CadEqu!B64</f>
        <v>58</v>
      </c>
      <c r="C68" s="94" t="str">
        <f>IF(CadEqu!F64="","",CadEqu!F64)</f>
        <v/>
      </c>
      <c r="D68" s="97" t="str">
        <f>IF(C68="","",IFERROR(IF(SUMIFS(tbLancamentos[Tempo indisponível],tbLancamentos[Equipamento],$C68,tbLancamentos[Momento da falha],"&gt;="&amp;$C$7,tbLancamentos[Momento da falha],"&lt;="&amp;$D$7)&gt;$E$7,$E$7,SUMIFS(tbLancamentos[Tempo indisponível],tbLancamentos[Equipamento],$C68,tbLancamentos[Momento da falha],"&gt;="&amp;$C$7,tbLancamentos[Momento da falha],"&lt;="&amp;$D$7)),""))</f>
        <v/>
      </c>
      <c r="E68" s="97" t="str">
        <f>IF(C68="","",IFERROR(SUMIFS(tbLancamentos[Meta tempo reparo],tbLancamentos[Equipamento],$C68,tbLancamentos[Momento da falha],"&gt;="&amp;$C$7,tbLancamentos[Momento da falha],"&lt;="&amp;$D$7),""))</f>
        <v/>
      </c>
      <c r="F68" s="97" t="str">
        <f>IF(C68="","",IFERROR(SUMIFS(tbLancamentos[Tempo devido],tbLancamentos[Equipamento],$C68,tbLancamentos[Momento da falha],"&gt;="&amp;$C$7,tbLancamentos[Momento da falha],"&lt;="&amp;$D$7),""))</f>
        <v/>
      </c>
      <c r="G6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8" s="127" t="str">
        <f t="shared" si="2"/>
        <v/>
      </c>
    </row>
    <row r="69" spans="2:9" ht="20.100000000000001" customHeight="1" x14ac:dyDescent="0.25">
      <c r="B69" s="94">
        <f>CadEqu!B65</f>
        <v>59</v>
      </c>
      <c r="C69" s="94" t="str">
        <f>IF(CadEqu!F65="","",CadEqu!F65)</f>
        <v/>
      </c>
      <c r="D69" s="97" t="str">
        <f>IF(C69="","",IFERROR(IF(SUMIFS(tbLancamentos[Tempo indisponível],tbLancamentos[Equipamento],$C69,tbLancamentos[Momento da falha],"&gt;="&amp;$C$7,tbLancamentos[Momento da falha],"&lt;="&amp;$D$7)&gt;$E$7,$E$7,SUMIFS(tbLancamentos[Tempo indisponível],tbLancamentos[Equipamento],$C69,tbLancamentos[Momento da falha],"&gt;="&amp;$C$7,tbLancamentos[Momento da falha],"&lt;="&amp;$D$7)),""))</f>
        <v/>
      </c>
      <c r="E69" s="97" t="str">
        <f>IF(C69="","",IFERROR(SUMIFS(tbLancamentos[Meta tempo reparo],tbLancamentos[Equipamento],$C69,tbLancamentos[Momento da falha],"&gt;="&amp;$C$7,tbLancamentos[Momento da falha],"&lt;="&amp;$D$7),""))</f>
        <v/>
      </c>
      <c r="F69" s="97" t="str">
        <f>IF(C69="","",IFERROR(SUMIFS(tbLancamentos[Tempo devido],tbLancamentos[Equipamento],$C69,tbLancamentos[Momento da falha],"&gt;="&amp;$C$7,tbLancamentos[Momento da falha],"&lt;="&amp;$D$7),""))</f>
        <v/>
      </c>
      <c r="G6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6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69" s="127" t="str">
        <f t="shared" si="2"/>
        <v/>
      </c>
    </row>
    <row r="70" spans="2:9" ht="20.100000000000001" customHeight="1" x14ac:dyDescent="0.25">
      <c r="B70" s="94">
        <f>CadEqu!B66</f>
        <v>60</v>
      </c>
      <c r="C70" s="94" t="str">
        <f>IF(CadEqu!F66="","",CadEqu!F66)</f>
        <v/>
      </c>
      <c r="D70" s="97" t="str">
        <f>IF(C70="","",IFERROR(IF(SUMIFS(tbLancamentos[Tempo indisponível],tbLancamentos[Equipamento],$C70,tbLancamentos[Momento da falha],"&gt;="&amp;$C$7,tbLancamentos[Momento da falha],"&lt;="&amp;$D$7)&gt;$E$7,$E$7,SUMIFS(tbLancamentos[Tempo indisponível],tbLancamentos[Equipamento],$C70,tbLancamentos[Momento da falha],"&gt;="&amp;$C$7,tbLancamentos[Momento da falha],"&lt;="&amp;$D$7)),""))</f>
        <v/>
      </c>
      <c r="E70" s="97" t="str">
        <f>IF(C70="","",IFERROR(SUMIFS(tbLancamentos[Meta tempo reparo],tbLancamentos[Equipamento],$C70,tbLancamentos[Momento da falha],"&gt;="&amp;$C$7,tbLancamentos[Momento da falha],"&lt;="&amp;$D$7),""))</f>
        <v/>
      </c>
      <c r="F70" s="97" t="str">
        <f>IF(C70="","",IFERROR(SUMIFS(tbLancamentos[Tempo devido],tbLancamentos[Equipamento],$C70,tbLancamentos[Momento da falha],"&gt;="&amp;$C$7,tbLancamentos[Momento da falha],"&lt;="&amp;$D$7),""))</f>
        <v/>
      </c>
      <c r="G7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0" s="127" t="str">
        <f t="shared" si="2"/>
        <v/>
      </c>
    </row>
    <row r="71" spans="2:9" ht="20.100000000000001" customHeight="1" x14ac:dyDescent="0.25">
      <c r="B71" s="94">
        <f>CadEqu!B67</f>
        <v>61</v>
      </c>
      <c r="C71" s="94" t="str">
        <f>IF(CadEqu!F67="","",CadEqu!F67)</f>
        <v/>
      </c>
      <c r="D71" s="97" t="str">
        <f>IF(C71="","",IFERROR(IF(SUMIFS(tbLancamentos[Tempo indisponível],tbLancamentos[Equipamento],$C71,tbLancamentos[Momento da falha],"&gt;="&amp;$C$7,tbLancamentos[Momento da falha],"&lt;="&amp;$D$7)&gt;$E$7,$E$7,SUMIFS(tbLancamentos[Tempo indisponível],tbLancamentos[Equipamento],$C71,tbLancamentos[Momento da falha],"&gt;="&amp;$C$7,tbLancamentos[Momento da falha],"&lt;="&amp;$D$7)),""))</f>
        <v/>
      </c>
      <c r="E71" s="97" t="str">
        <f>IF(C71="","",IFERROR(SUMIFS(tbLancamentos[Meta tempo reparo],tbLancamentos[Equipamento],$C71,tbLancamentos[Momento da falha],"&gt;="&amp;$C$7,tbLancamentos[Momento da falha],"&lt;="&amp;$D$7),""))</f>
        <v/>
      </c>
      <c r="F71" s="97" t="str">
        <f>IF(C71="","",IFERROR(SUMIFS(tbLancamentos[Tempo devido],tbLancamentos[Equipamento],$C71,tbLancamentos[Momento da falha],"&gt;="&amp;$C$7,tbLancamentos[Momento da falha],"&lt;="&amp;$D$7),""))</f>
        <v/>
      </c>
      <c r="G7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1" s="127" t="str">
        <f t="shared" si="2"/>
        <v/>
      </c>
    </row>
    <row r="72" spans="2:9" ht="20.100000000000001" customHeight="1" x14ac:dyDescent="0.25">
      <c r="B72" s="94">
        <f>CadEqu!B68</f>
        <v>62</v>
      </c>
      <c r="C72" s="94" t="str">
        <f>IF(CadEqu!F68="","",CadEqu!F68)</f>
        <v/>
      </c>
      <c r="D72" s="97" t="str">
        <f>IF(C72="","",IFERROR(IF(SUMIFS(tbLancamentos[Tempo indisponível],tbLancamentos[Equipamento],$C72,tbLancamentos[Momento da falha],"&gt;="&amp;$C$7,tbLancamentos[Momento da falha],"&lt;="&amp;$D$7)&gt;$E$7,$E$7,SUMIFS(tbLancamentos[Tempo indisponível],tbLancamentos[Equipamento],$C72,tbLancamentos[Momento da falha],"&gt;="&amp;$C$7,tbLancamentos[Momento da falha],"&lt;="&amp;$D$7)),""))</f>
        <v/>
      </c>
      <c r="E72" s="97" t="str">
        <f>IF(C72="","",IFERROR(SUMIFS(tbLancamentos[Meta tempo reparo],tbLancamentos[Equipamento],$C72,tbLancamentos[Momento da falha],"&gt;="&amp;$C$7,tbLancamentos[Momento da falha],"&lt;="&amp;$D$7),""))</f>
        <v/>
      </c>
      <c r="F72" s="97" t="str">
        <f>IF(C72="","",IFERROR(SUMIFS(tbLancamentos[Tempo devido],tbLancamentos[Equipamento],$C72,tbLancamentos[Momento da falha],"&gt;="&amp;$C$7,tbLancamentos[Momento da falha],"&lt;="&amp;$D$7),""))</f>
        <v/>
      </c>
      <c r="G7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2" s="127" t="str">
        <f t="shared" si="2"/>
        <v/>
      </c>
    </row>
    <row r="73" spans="2:9" ht="20.100000000000001" customHeight="1" x14ac:dyDescent="0.25">
      <c r="B73" s="94">
        <f>CadEqu!B69</f>
        <v>63</v>
      </c>
      <c r="C73" s="94" t="str">
        <f>IF(CadEqu!F69="","",CadEqu!F69)</f>
        <v/>
      </c>
      <c r="D73" s="97" t="str">
        <f>IF(C73="","",IFERROR(IF(SUMIFS(tbLancamentos[Tempo indisponível],tbLancamentos[Equipamento],$C73,tbLancamentos[Momento da falha],"&gt;="&amp;$C$7,tbLancamentos[Momento da falha],"&lt;="&amp;$D$7)&gt;$E$7,$E$7,SUMIFS(tbLancamentos[Tempo indisponível],tbLancamentos[Equipamento],$C73,tbLancamentos[Momento da falha],"&gt;="&amp;$C$7,tbLancamentos[Momento da falha],"&lt;="&amp;$D$7)),""))</f>
        <v/>
      </c>
      <c r="E73" s="97" t="str">
        <f>IF(C73="","",IFERROR(SUMIFS(tbLancamentos[Meta tempo reparo],tbLancamentos[Equipamento],$C73,tbLancamentos[Momento da falha],"&gt;="&amp;$C$7,tbLancamentos[Momento da falha],"&lt;="&amp;$D$7),""))</f>
        <v/>
      </c>
      <c r="F73" s="97" t="str">
        <f>IF(C73="","",IFERROR(SUMIFS(tbLancamentos[Tempo devido],tbLancamentos[Equipamento],$C73,tbLancamentos[Momento da falha],"&gt;="&amp;$C$7,tbLancamentos[Momento da falha],"&lt;="&amp;$D$7),""))</f>
        <v/>
      </c>
      <c r="G7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3" s="127" t="str">
        <f t="shared" si="2"/>
        <v/>
      </c>
    </row>
    <row r="74" spans="2:9" ht="20.100000000000001" customHeight="1" x14ac:dyDescent="0.25">
      <c r="B74" s="94">
        <f>CadEqu!B70</f>
        <v>64</v>
      </c>
      <c r="C74" s="94" t="str">
        <f>IF(CadEqu!F70="","",CadEqu!F70)</f>
        <v/>
      </c>
      <c r="D74" s="97" t="str">
        <f>IF(C74="","",IFERROR(IF(SUMIFS(tbLancamentos[Tempo indisponível],tbLancamentos[Equipamento],$C74,tbLancamentos[Momento da falha],"&gt;="&amp;$C$7,tbLancamentos[Momento da falha],"&lt;="&amp;$D$7)&gt;$E$7,$E$7,SUMIFS(tbLancamentos[Tempo indisponível],tbLancamentos[Equipamento],$C74,tbLancamentos[Momento da falha],"&gt;="&amp;$C$7,tbLancamentos[Momento da falha],"&lt;="&amp;$D$7)),""))</f>
        <v/>
      </c>
      <c r="E74" s="97" t="str">
        <f>IF(C74="","",IFERROR(SUMIFS(tbLancamentos[Meta tempo reparo],tbLancamentos[Equipamento],$C74,tbLancamentos[Momento da falha],"&gt;="&amp;$C$7,tbLancamentos[Momento da falha],"&lt;="&amp;$D$7),""))</f>
        <v/>
      </c>
      <c r="F74" s="97" t="str">
        <f>IF(C74="","",IFERROR(SUMIFS(tbLancamentos[Tempo devido],tbLancamentos[Equipamento],$C74,tbLancamentos[Momento da falha],"&gt;="&amp;$C$7,tbLancamentos[Momento da falha],"&lt;="&amp;$D$7),""))</f>
        <v/>
      </c>
      <c r="G7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4" s="127" t="str">
        <f t="shared" si="2"/>
        <v/>
      </c>
    </row>
    <row r="75" spans="2:9" ht="20.100000000000001" customHeight="1" x14ac:dyDescent="0.25">
      <c r="B75" s="94">
        <f>CadEqu!B71</f>
        <v>65</v>
      </c>
      <c r="C75" s="94" t="str">
        <f>IF(CadEqu!F71="","",CadEqu!F71)</f>
        <v/>
      </c>
      <c r="D75" s="97" t="str">
        <f>IF(C75="","",IFERROR(IF(SUMIFS(tbLancamentos[Tempo indisponível],tbLancamentos[Equipamento],$C75,tbLancamentos[Momento da falha],"&gt;="&amp;$C$7,tbLancamentos[Momento da falha],"&lt;="&amp;$D$7)&gt;$E$7,$E$7,SUMIFS(tbLancamentos[Tempo indisponível],tbLancamentos[Equipamento],$C75,tbLancamentos[Momento da falha],"&gt;="&amp;$C$7,tbLancamentos[Momento da falha],"&lt;="&amp;$D$7)),""))</f>
        <v/>
      </c>
      <c r="E75" s="97" t="str">
        <f>IF(C75="","",IFERROR(SUMIFS(tbLancamentos[Meta tempo reparo],tbLancamentos[Equipamento],$C75,tbLancamentos[Momento da falha],"&gt;="&amp;$C$7,tbLancamentos[Momento da falha],"&lt;="&amp;$D$7),""))</f>
        <v/>
      </c>
      <c r="F75" s="97" t="str">
        <f>IF(C75="","",IFERROR(SUMIFS(tbLancamentos[Tempo devido],tbLancamentos[Equipamento],$C75,tbLancamentos[Momento da falha],"&gt;="&amp;$C$7,tbLancamentos[Momento da falha],"&lt;="&amp;$D$7),""))</f>
        <v/>
      </c>
      <c r="G7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5" s="127" t="str">
        <f t="shared" ref="I75:I138" si="3">IF(C75="","",($E$7-(D75-E75))/$E$7)</f>
        <v/>
      </c>
    </row>
    <row r="76" spans="2:9" ht="20.100000000000001" customHeight="1" x14ac:dyDescent="0.25">
      <c r="B76" s="94">
        <f>CadEqu!B72</f>
        <v>66</v>
      </c>
      <c r="C76" s="94" t="str">
        <f>IF(CadEqu!F72="","",CadEqu!F72)</f>
        <v/>
      </c>
      <c r="D76" s="97" t="str">
        <f>IF(C76="","",IFERROR(IF(SUMIFS(tbLancamentos[Tempo indisponível],tbLancamentos[Equipamento],$C76,tbLancamentos[Momento da falha],"&gt;="&amp;$C$7,tbLancamentos[Momento da falha],"&lt;="&amp;$D$7)&gt;$E$7,$E$7,SUMIFS(tbLancamentos[Tempo indisponível],tbLancamentos[Equipamento],$C76,tbLancamentos[Momento da falha],"&gt;="&amp;$C$7,tbLancamentos[Momento da falha],"&lt;="&amp;$D$7)),""))</f>
        <v/>
      </c>
      <c r="E76" s="97" t="str">
        <f>IF(C76="","",IFERROR(SUMIFS(tbLancamentos[Meta tempo reparo],tbLancamentos[Equipamento],$C76,tbLancamentos[Momento da falha],"&gt;="&amp;$C$7,tbLancamentos[Momento da falha],"&lt;="&amp;$D$7),""))</f>
        <v/>
      </c>
      <c r="F76" s="97" t="str">
        <f>IF(C76="","",IFERROR(SUMIFS(tbLancamentos[Tempo devido],tbLancamentos[Equipamento],$C76,tbLancamentos[Momento da falha],"&gt;="&amp;$C$7,tbLancamentos[Momento da falha],"&lt;="&amp;$D$7),""))</f>
        <v/>
      </c>
      <c r="G7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6" s="127" t="str">
        <f t="shared" si="3"/>
        <v/>
      </c>
    </row>
    <row r="77" spans="2:9" ht="20.100000000000001" customHeight="1" x14ac:dyDescent="0.25">
      <c r="B77" s="94">
        <f>CadEqu!B73</f>
        <v>67</v>
      </c>
      <c r="C77" s="94" t="str">
        <f>IF(CadEqu!F73="","",CadEqu!F73)</f>
        <v/>
      </c>
      <c r="D77" s="97" t="str">
        <f>IF(C77="","",IFERROR(IF(SUMIFS(tbLancamentos[Tempo indisponível],tbLancamentos[Equipamento],$C77,tbLancamentos[Momento da falha],"&gt;="&amp;$C$7,tbLancamentos[Momento da falha],"&lt;="&amp;$D$7)&gt;$E$7,$E$7,SUMIFS(tbLancamentos[Tempo indisponível],tbLancamentos[Equipamento],$C77,tbLancamentos[Momento da falha],"&gt;="&amp;$C$7,tbLancamentos[Momento da falha],"&lt;="&amp;$D$7)),""))</f>
        <v/>
      </c>
      <c r="E77" s="97" t="str">
        <f>IF(C77="","",IFERROR(SUMIFS(tbLancamentos[Meta tempo reparo],tbLancamentos[Equipamento],$C77,tbLancamentos[Momento da falha],"&gt;="&amp;$C$7,tbLancamentos[Momento da falha],"&lt;="&amp;$D$7),""))</f>
        <v/>
      </c>
      <c r="F77" s="97" t="str">
        <f>IF(C77="","",IFERROR(SUMIFS(tbLancamentos[Tempo devido],tbLancamentos[Equipamento],$C77,tbLancamentos[Momento da falha],"&gt;="&amp;$C$7,tbLancamentos[Momento da falha],"&lt;="&amp;$D$7),""))</f>
        <v/>
      </c>
      <c r="G7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7" s="127" t="str">
        <f t="shared" si="3"/>
        <v/>
      </c>
    </row>
    <row r="78" spans="2:9" ht="20.100000000000001" customHeight="1" x14ac:dyDescent="0.25">
      <c r="B78" s="94">
        <f>CadEqu!B74</f>
        <v>68</v>
      </c>
      <c r="C78" s="94" t="str">
        <f>IF(CadEqu!F74="","",CadEqu!F74)</f>
        <v/>
      </c>
      <c r="D78" s="97" t="str">
        <f>IF(C78="","",IFERROR(IF(SUMIFS(tbLancamentos[Tempo indisponível],tbLancamentos[Equipamento],$C78,tbLancamentos[Momento da falha],"&gt;="&amp;$C$7,tbLancamentos[Momento da falha],"&lt;="&amp;$D$7)&gt;$E$7,$E$7,SUMIFS(tbLancamentos[Tempo indisponível],tbLancamentos[Equipamento],$C78,tbLancamentos[Momento da falha],"&gt;="&amp;$C$7,tbLancamentos[Momento da falha],"&lt;="&amp;$D$7)),""))</f>
        <v/>
      </c>
      <c r="E78" s="97" t="str">
        <f>IF(C78="","",IFERROR(SUMIFS(tbLancamentos[Meta tempo reparo],tbLancamentos[Equipamento],$C78,tbLancamentos[Momento da falha],"&gt;="&amp;$C$7,tbLancamentos[Momento da falha],"&lt;="&amp;$D$7),""))</f>
        <v/>
      </c>
      <c r="F78" s="97" t="str">
        <f>IF(C78="","",IFERROR(SUMIFS(tbLancamentos[Tempo devido],tbLancamentos[Equipamento],$C78,tbLancamentos[Momento da falha],"&gt;="&amp;$C$7,tbLancamentos[Momento da falha],"&lt;="&amp;$D$7),""))</f>
        <v/>
      </c>
      <c r="G7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8" s="127" t="str">
        <f t="shared" si="3"/>
        <v/>
      </c>
    </row>
    <row r="79" spans="2:9" ht="20.100000000000001" customHeight="1" x14ac:dyDescent="0.25">
      <c r="B79" s="94">
        <f>CadEqu!B75</f>
        <v>69</v>
      </c>
      <c r="C79" s="94" t="str">
        <f>IF(CadEqu!F75="","",CadEqu!F75)</f>
        <v/>
      </c>
      <c r="D79" s="97" t="str">
        <f>IF(C79="","",IFERROR(IF(SUMIFS(tbLancamentos[Tempo indisponível],tbLancamentos[Equipamento],$C79,tbLancamentos[Momento da falha],"&gt;="&amp;$C$7,tbLancamentos[Momento da falha],"&lt;="&amp;$D$7)&gt;$E$7,$E$7,SUMIFS(tbLancamentos[Tempo indisponível],tbLancamentos[Equipamento],$C79,tbLancamentos[Momento da falha],"&gt;="&amp;$C$7,tbLancamentos[Momento da falha],"&lt;="&amp;$D$7)),""))</f>
        <v/>
      </c>
      <c r="E79" s="97" t="str">
        <f>IF(C79="","",IFERROR(SUMIFS(tbLancamentos[Meta tempo reparo],tbLancamentos[Equipamento],$C79,tbLancamentos[Momento da falha],"&gt;="&amp;$C$7,tbLancamentos[Momento da falha],"&lt;="&amp;$D$7),""))</f>
        <v/>
      </c>
      <c r="F79" s="97" t="str">
        <f>IF(C79="","",IFERROR(SUMIFS(tbLancamentos[Tempo devido],tbLancamentos[Equipamento],$C79,tbLancamentos[Momento da falha],"&gt;="&amp;$C$7,tbLancamentos[Momento da falha],"&lt;="&amp;$D$7),""))</f>
        <v/>
      </c>
      <c r="G7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7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79" s="127" t="str">
        <f t="shared" si="3"/>
        <v/>
      </c>
    </row>
    <row r="80" spans="2:9" ht="20.100000000000001" customHeight="1" x14ac:dyDescent="0.25">
      <c r="B80" s="94">
        <f>CadEqu!B76</f>
        <v>70</v>
      </c>
      <c r="C80" s="94" t="str">
        <f>IF(CadEqu!F76="","",CadEqu!F76)</f>
        <v/>
      </c>
      <c r="D80" s="97" t="str">
        <f>IF(C80="","",IFERROR(IF(SUMIFS(tbLancamentos[Tempo indisponível],tbLancamentos[Equipamento],$C80,tbLancamentos[Momento da falha],"&gt;="&amp;$C$7,tbLancamentos[Momento da falha],"&lt;="&amp;$D$7)&gt;$E$7,$E$7,SUMIFS(tbLancamentos[Tempo indisponível],tbLancamentos[Equipamento],$C80,tbLancamentos[Momento da falha],"&gt;="&amp;$C$7,tbLancamentos[Momento da falha],"&lt;="&amp;$D$7)),""))</f>
        <v/>
      </c>
      <c r="E80" s="97" t="str">
        <f>IF(C80="","",IFERROR(SUMIFS(tbLancamentos[Meta tempo reparo],tbLancamentos[Equipamento],$C80,tbLancamentos[Momento da falha],"&gt;="&amp;$C$7,tbLancamentos[Momento da falha],"&lt;="&amp;$D$7),""))</f>
        <v/>
      </c>
      <c r="F80" s="97" t="str">
        <f>IF(C80="","",IFERROR(SUMIFS(tbLancamentos[Tempo devido],tbLancamentos[Equipamento],$C80,tbLancamentos[Momento da falha],"&gt;="&amp;$C$7,tbLancamentos[Momento da falha],"&lt;="&amp;$D$7),""))</f>
        <v/>
      </c>
      <c r="G8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0" s="127" t="str">
        <f t="shared" si="3"/>
        <v/>
      </c>
    </row>
    <row r="81" spans="2:9" ht="20.100000000000001" customHeight="1" x14ac:dyDescent="0.25">
      <c r="B81" s="94">
        <f>CadEqu!B77</f>
        <v>71</v>
      </c>
      <c r="C81" s="94" t="str">
        <f>IF(CadEqu!F77="","",CadEqu!F77)</f>
        <v/>
      </c>
      <c r="D81" s="97" t="str">
        <f>IF(C81="","",IFERROR(IF(SUMIFS(tbLancamentos[Tempo indisponível],tbLancamentos[Equipamento],$C81,tbLancamentos[Momento da falha],"&gt;="&amp;$C$7,tbLancamentos[Momento da falha],"&lt;="&amp;$D$7)&gt;$E$7,$E$7,SUMIFS(tbLancamentos[Tempo indisponível],tbLancamentos[Equipamento],$C81,tbLancamentos[Momento da falha],"&gt;="&amp;$C$7,tbLancamentos[Momento da falha],"&lt;="&amp;$D$7)),""))</f>
        <v/>
      </c>
      <c r="E81" s="97" t="str">
        <f>IF(C81="","",IFERROR(SUMIFS(tbLancamentos[Meta tempo reparo],tbLancamentos[Equipamento],$C81,tbLancamentos[Momento da falha],"&gt;="&amp;$C$7,tbLancamentos[Momento da falha],"&lt;="&amp;$D$7),""))</f>
        <v/>
      </c>
      <c r="F81" s="97" t="str">
        <f>IF(C81="","",IFERROR(SUMIFS(tbLancamentos[Tempo devido],tbLancamentos[Equipamento],$C81,tbLancamentos[Momento da falha],"&gt;="&amp;$C$7,tbLancamentos[Momento da falha],"&lt;="&amp;$D$7),""))</f>
        <v/>
      </c>
      <c r="G8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1" s="127" t="str">
        <f t="shared" si="3"/>
        <v/>
      </c>
    </row>
    <row r="82" spans="2:9" ht="20.100000000000001" customHeight="1" x14ac:dyDescent="0.25">
      <c r="B82" s="94">
        <f>CadEqu!B78</f>
        <v>72</v>
      </c>
      <c r="C82" s="94" t="str">
        <f>IF(CadEqu!F78="","",CadEqu!F78)</f>
        <v/>
      </c>
      <c r="D82" s="97" t="str">
        <f>IF(C82="","",IFERROR(IF(SUMIFS(tbLancamentos[Tempo indisponível],tbLancamentos[Equipamento],$C82,tbLancamentos[Momento da falha],"&gt;="&amp;$C$7,tbLancamentos[Momento da falha],"&lt;="&amp;$D$7)&gt;$E$7,$E$7,SUMIFS(tbLancamentos[Tempo indisponível],tbLancamentos[Equipamento],$C82,tbLancamentos[Momento da falha],"&gt;="&amp;$C$7,tbLancamentos[Momento da falha],"&lt;="&amp;$D$7)),""))</f>
        <v/>
      </c>
      <c r="E82" s="97" t="str">
        <f>IF(C82="","",IFERROR(SUMIFS(tbLancamentos[Meta tempo reparo],tbLancamentos[Equipamento],$C82,tbLancamentos[Momento da falha],"&gt;="&amp;$C$7,tbLancamentos[Momento da falha],"&lt;="&amp;$D$7),""))</f>
        <v/>
      </c>
      <c r="F82" s="97" t="str">
        <f>IF(C82="","",IFERROR(SUMIFS(tbLancamentos[Tempo devido],tbLancamentos[Equipamento],$C82,tbLancamentos[Momento da falha],"&gt;="&amp;$C$7,tbLancamentos[Momento da falha],"&lt;="&amp;$D$7),""))</f>
        <v/>
      </c>
      <c r="G8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2" s="127" t="str">
        <f t="shared" si="3"/>
        <v/>
      </c>
    </row>
    <row r="83" spans="2:9" ht="20.100000000000001" customHeight="1" x14ac:dyDescent="0.25">
      <c r="B83" s="94">
        <f>CadEqu!B79</f>
        <v>73</v>
      </c>
      <c r="C83" s="94" t="str">
        <f>IF(CadEqu!F79="","",CadEqu!F79)</f>
        <v/>
      </c>
      <c r="D83" s="97" t="str">
        <f>IF(C83="","",IFERROR(IF(SUMIFS(tbLancamentos[Tempo indisponível],tbLancamentos[Equipamento],$C83,tbLancamentos[Momento da falha],"&gt;="&amp;$C$7,tbLancamentos[Momento da falha],"&lt;="&amp;$D$7)&gt;$E$7,$E$7,SUMIFS(tbLancamentos[Tempo indisponível],tbLancamentos[Equipamento],$C83,tbLancamentos[Momento da falha],"&gt;="&amp;$C$7,tbLancamentos[Momento da falha],"&lt;="&amp;$D$7)),""))</f>
        <v/>
      </c>
      <c r="E83" s="97" t="str">
        <f>IF(C83="","",IFERROR(SUMIFS(tbLancamentos[Meta tempo reparo],tbLancamentos[Equipamento],$C83,tbLancamentos[Momento da falha],"&gt;="&amp;$C$7,tbLancamentos[Momento da falha],"&lt;="&amp;$D$7),""))</f>
        <v/>
      </c>
      <c r="F83" s="97" t="str">
        <f>IF(C83="","",IFERROR(SUMIFS(tbLancamentos[Tempo devido],tbLancamentos[Equipamento],$C83,tbLancamentos[Momento da falha],"&gt;="&amp;$C$7,tbLancamentos[Momento da falha],"&lt;="&amp;$D$7),""))</f>
        <v/>
      </c>
      <c r="G8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3" s="127" t="str">
        <f t="shared" si="3"/>
        <v/>
      </c>
    </row>
    <row r="84" spans="2:9" ht="20.100000000000001" customHeight="1" x14ac:dyDescent="0.25">
      <c r="B84" s="94">
        <f>CadEqu!B80</f>
        <v>74</v>
      </c>
      <c r="C84" s="94" t="str">
        <f>IF(CadEqu!F80="","",CadEqu!F80)</f>
        <v/>
      </c>
      <c r="D84" s="97" t="str">
        <f>IF(C84="","",IFERROR(IF(SUMIFS(tbLancamentos[Tempo indisponível],tbLancamentos[Equipamento],$C84,tbLancamentos[Momento da falha],"&gt;="&amp;$C$7,tbLancamentos[Momento da falha],"&lt;="&amp;$D$7)&gt;$E$7,$E$7,SUMIFS(tbLancamentos[Tempo indisponível],tbLancamentos[Equipamento],$C84,tbLancamentos[Momento da falha],"&gt;="&amp;$C$7,tbLancamentos[Momento da falha],"&lt;="&amp;$D$7)),""))</f>
        <v/>
      </c>
      <c r="E84" s="97" t="str">
        <f>IF(C84="","",IFERROR(SUMIFS(tbLancamentos[Meta tempo reparo],tbLancamentos[Equipamento],$C84,tbLancamentos[Momento da falha],"&gt;="&amp;$C$7,tbLancamentos[Momento da falha],"&lt;="&amp;$D$7),""))</f>
        <v/>
      </c>
      <c r="F84" s="97" t="str">
        <f>IF(C84="","",IFERROR(SUMIFS(tbLancamentos[Tempo devido],tbLancamentos[Equipamento],$C84,tbLancamentos[Momento da falha],"&gt;="&amp;$C$7,tbLancamentos[Momento da falha],"&lt;="&amp;$D$7),""))</f>
        <v/>
      </c>
      <c r="G8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4" s="127" t="str">
        <f t="shared" si="3"/>
        <v/>
      </c>
    </row>
    <row r="85" spans="2:9" ht="20.100000000000001" customHeight="1" x14ac:dyDescent="0.25">
      <c r="B85" s="94">
        <f>CadEqu!B81</f>
        <v>75</v>
      </c>
      <c r="C85" s="94" t="str">
        <f>IF(CadEqu!F81="","",CadEqu!F81)</f>
        <v/>
      </c>
      <c r="D85" s="97" t="str">
        <f>IF(C85="","",IFERROR(IF(SUMIFS(tbLancamentos[Tempo indisponível],tbLancamentos[Equipamento],$C85,tbLancamentos[Momento da falha],"&gt;="&amp;$C$7,tbLancamentos[Momento da falha],"&lt;="&amp;$D$7)&gt;$E$7,$E$7,SUMIFS(tbLancamentos[Tempo indisponível],tbLancamentos[Equipamento],$C85,tbLancamentos[Momento da falha],"&gt;="&amp;$C$7,tbLancamentos[Momento da falha],"&lt;="&amp;$D$7)),""))</f>
        <v/>
      </c>
      <c r="E85" s="97" t="str">
        <f>IF(C85="","",IFERROR(SUMIFS(tbLancamentos[Meta tempo reparo],tbLancamentos[Equipamento],$C85,tbLancamentos[Momento da falha],"&gt;="&amp;$C$7,tbLancamentos[Momento da falha],"&lt;="&amp;$D$7),""))</f>
        <v/>
      </c>
      <c r="F85" s="97" t="str">
        <f>IF(C85="","",IFERROR(SUMIFS(tbLancamentos[Tempo devido],tbLancamentos[Equipamento],$C85,tbLancamentos[Momento da falha],"&gt;="&amp;$C$7,tbLancamentos[Momento da falha],"&lt;="&amp;$D$7),""))</f>
        <v/>
      </c>
      <c r="G8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5" s="127" t="str">
        <f t="shared" si="3"/>
        <v/>
      </c>
    </row>
    <row r="86" spans="2:9" ht="20.100000000000001" customHeight="1" x14ac:dyDescent="0.25">
      <c r="B86" s="94">
        <f>CadEqu!B82</f>
        <v>76</v>
      </c>
      <c r="C86" s="94" t="str">
        <f>IF(CadEqu!F82="","",CadEqu!F82)</f>
        <v/>
      </c>
      <c r="D86" s="97" t="str">
        <f>IF(C86="","",IFERROR(IF(SUMIFS(tbLancamentos[Tempo indisponível],tbLancamentos[Equipamento],$C86,tbLancamentos[Momento da falha],"&gt;="&amp;$C$7,tbLancamentos[Momento da falha],"&lt;="&amp;$D$7)&gt;$E$7,$E$7,SUMIFS(tbLancamentos[Tempo indisponível],tbLancamentos[Equipamento],$C86,tbLancamentos[Momento da falha],"&gt;="&amp;$C$7,tbLancamentos[Momento da falha],"&lt;="&amp;$D$7)),""))</f>
        <v/>
      </c>
      <c r="E86" s="97" t="str">
        <f>IF(C86="","",IFERROR(SUMIFS(tbLancamentos[Meta tempo reparo],tbLancamentos[Equipamento],$C86,tbLancamentos[Momento da falha],"&gt;="&amp;$C$7,tbLancamentos[Momento da falha],"&lt;="&amp;$D$7),""))</f>
        <v/>
      </c>
      <c r="F86" s="97" t="str">
        <f>IF(C86="","",IFERROR(SUMIFS(tbLancamentos[Tempo devido],tbLancamentos[Equipamento],$C86,tbLancamentos[Momento da falha],"&gt;="&amp;$C$7,tbLancamentos[Momento da falha],"&lt;="&amp;$D$7),""))</f>
        <v/>
      </c>
      <c r="G8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6" s="127" t="str">
        <f t="shared" si="3"/>
        <v/>
      </c>
    </row>
    <row r="87" spans="2:9" ht="20.100000000000001" customHeight="1" x14ac:dyDescent="0.25">
      <c r="B87" s="94">
        <f>CadEqu!B83</f>
        <v>77</v>
      </c>
      <c r="C87" s="94" t="str">
        <f>IF(CadEqu!F83="","",CadEqu!F83)</f>
        <v/>
      </c>
      <c r="D87" s="97" t="str">
        <f>IF(C87="","",IFERROR(IF(SUMIFS(tbLancamentos[Tempo indisponível],tbLancamentos[Equipamento],$C87,tbLancamentos[Momento da falha],"&gt;="&amp;$C$7,tbLancamentos[Momento da falha],"&lt;="&amp;$D$7)&gt;$E$7,$E$7,SUMIFS(tbLancamentos[Tempo indisponível],tbLancamentos[Equipamento],$C87,tbLancamentos[Momento da falha],"&gt;="&amp;$C$7,tbLancamentos[Momento da falha],"&lt;="&amp;$D$7)),""))</f>
        <v/>
      </c>
      <c r="E87" s="97" t="str">
        <f>IF(C87="","",IFERROR(SUMIFS(tbLancamentos[Meta tempo reparo],tbLancamentos[Equipamento],$C87,tbLancamentos[Momento da falha],"&gt;="&amp;$C$7,tbLancamentos[Momento da falha],"&lt;="&amp;$D$7),""))</f>
        <v/>
      </c>
      <c r="F87" s="97" t="str">
        <f>IF(C87="","",IFERROR(SUMIFS(tbLancamentos[Tempo devido],tbLancamentos[Equipamento],$C87,tbLancamentos[Momento da falha],"&gt;="&amp;$C$7,tbLancamentos[Momento da falha],"&lt;="&amp;$D$7),""))</f>
        <v/>
      </c>
      <c r="G8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7" s="127" t="str">
        <f t="shared" si="3"/>
        <v/>
      </c>
    </row>
    <row r="88" spans="2:9" ht="20.100000000000001" customHeight="1" x14ac:dyDescent="0.25">
      <c r="B88" s="94">
        <f>CadEqu!B84</f>
        <v>78</v>
      </c>
      <c r="C88" s="94" t="str">
        <f>IF(CadEqu!F84="","",CadEqu!F84)</f>
        <v/>
      </c>
      <c r="D88" s="97" t="str">
        <f>IF(C88="","",IFERROR(IF(SUMIFS(tbLancamentos[Tempo indisponível],tbLancamentos[Equipamento],$C88,tbLancamentos[Momento da falha],"&gt;="&amp;$C$7,tbLancamentos[Momento da falha],"&lt;="&amp;$D$7)&gt;$E$7,$E$7,SUMIFS(tbLancamentos[Tempo indisponível],tbLancamentos[Equipamento],$C88,tbLancamentos[Momento da falha],"&gt;="&amp;$C$7,tbLancamentos[Momento da falha],"&lt;="&amp;$D$7)),""))</f>
        <v/>
      </c>
      <c r="E88" s="97" t="str">
        <f>IF(C88="","",IFERROR(SUMIFS(tbLancamentos[Meta tempo reparo],tbLancamentos[Equipamento],$C88,tbLancamentos[Momento da falha],"&gt;="&amp;$C$7,tbLancamentos[Momento da falha],"&lt;="&amp;$D$7),""))</f>
        <v/>
      </c>
      <c r="F88" s="97" t="str">
        <f>IF(C88="","",IFERROR(SUMIFS(tbLancamentos[Tempo devido],tbLancamentos[Equipamento],$C88,tbLancamentos[Momento da falha],"&gt;="&amp;$C$7,tbLancamentos[Momento da falha],"&lt;="&amp;$D$7),""))</f>
        <v/>
      </c>
      <c r="G8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8" s="127" t="str">
        <f t="shared" si="3"/>
        <v/>
      </c>
    </row>
    <row r="89" spans="2:9" ht="20.100000000000001" customHeight="1" x14ac:dyDescent="0.25">
      <c r="B89" s="94">
        <f>CadEqu!B85</f>
        <v>79</v>
      </c>
      <c r="C89" s="94" t="str">
        <f>IF(CadEqu!F85="","",CadEqu!F85)</f>
        <v/>
      </c>
      <c r="D89" s="97" t="str">
        <f>IF(C89="","",IFERROR(IF(SUMIFS(tbLancamentos[Tempo indisponível],tbLancamentos[Equipamento],$C89,tbLancamentos[Momento da falha],"&gt;="&amp;$C$7,tbLancamentos[Momento da falha],"&lt;="&amp;$D$7)&gt;$E$7,$E$7,SUMIFS(tbLancamentos[Tempo indisponível],tbLancamentos[Equipamento],$C89,tbLancamentos[Momento da falha],"&gt;="&amp;$C$7,tbLancamentos[Momento da falha],"&lt;="&amp;$D$7)),""))</f>
        <v/>
      </c>
      <c r="E89" s="97" t="str">
        <f>IF(C89="","",IFERROR(SUMIFS(tbLancamentos[Meta tempo reparo],tbLancamentos[Equipamento],$C89,tbLancamentos[Momento da falha],"&gt;="&amp;$C$7,tbLancamentos[Momento da falha],"&lt;="&amp;$D$7),""))</f>
        <v/>
      </c>
      <c r="F89" s="97" t="str">
        <f>IF(C89="","",IFERROR(SUMIFS(tbLancamentos[Tempo devido],tbLancamentos[Equipamento],$C89,tbLancamentos[Momento da falha],"&gt;="&amp;$C$7,tbLancamentos[Momento da falha],"&lt;="&amp;$D$7),""))</f>
        <v/>
      </c>
      <c r="G8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8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89" s="127" t="str">
        <f t="shared" si="3"/>
        <v/>
      </c>
    </row>
    <row r="90" spans="2:9" ht="20.100000000000001" customHeight="1" x14ac:dyDescent="0.25">
      <c r="B90" s="94">
        <f>CadEqu!B86</f>
        <v>80</v>
      </c>
      <c r="C90" s="94" t="str">
        <f>IF(CadEqu!F86="","",CadEqu!F86)</f>
        <v/>
      </c>
      <c r="D90" s="97" t="str">
        <f>IF(C90="","",IFERROR(IF(SUMIFS(tbLancamentos[Tempo indisponível],tbLancamentos[Equipamento],$C90,tbLancamentos[Momento da falha],"&gt;="&amp;$C$7,tbLancamentos[Momento da falha],"&lt;="&amp;$D$7)&gt;$E$7,$E$7,SUMIFS(tbLancamentos[Tempo indisponível],tbLancamentos[Equipamento],$C90,tbLancamentos[Momento da falha],"&gt;="&amp;$C$7,tbLancamentos[Momento da falha],"&lt;="&amp;$D$7)),""))</f>
        <v/>
      </c>
      <c r="E90" s="97" t="str">
        <f>IF(C90="","",IFERROR(SUMIFS(tbLancamentos[Meta tempo reparo],tbLancamentos[Equipamento],$C90,tbLancamentos[Momento da falha],"&gt;="&amp;$C$7,tbLancamentos[Momento da falha],"&lt;="&amp;$D$7),""))</f>
        <v/>
      </c>
      <c r="F90" s="97" t="str">
        <f>IF(C90="","",IFERROR(SUMIFS(tbLancamentos[Tempo devido],tbLancamentos[Equipamento],$C90,tbLancamentos[Momento da falha],"&gt;="&amp;$C$7,tbLancamentos[Momento da falha],"&lt;="&amp;$D$7),""))</f>
        <v/>
      </c>
      <c r="G9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0" s="127" t="str">
        <f t="shared" si="3"/>
        <v/>
      </c>
    </row>
    <row r="91" spans="2:9" ht="20.100000000000001" customHeight="1" x14ac:dyDescent="0.25">
      <c r="B91" s="94">
        <f>CadEqu!B87</f>
        <v>81</v>
      </c>
      <c r="C91" s="94" t="str">
        <f>IF(CadEqu!F87="","",CadEqu!F87)</f>
        <v/>
      </c>
      <c r="D91" s="97" t="str">
        <f>IF(C91="","",IFERROR(IF(SUMIFS(tbLancamentos[Tempo indisponível],tbLancamentos[Equipamento],$C91,tbLancamentos[Momento da falha],"&gt;="&amp;$C$7,tbLancamentos[Momento da falha],"&lt;="&amp;$D$7)&gt;$E$7,$E$7,SUMIFS(tbLancamentos[Tempo indisponível],tbLancamentos[Equipamento],$C91,tbLancamentos[Momento da falha],"&gt;="&amp;$C$7,tbLancamentos[Momento da falha],"&lt;="&amp;$D$7)),""))</f>
        <v/>
      </c>
      <c r="E91" s="97" t="str">
        <f>IF(C91="","",IFERROR(SUMIFS(tbLancamentos[Meta tempo reparo],tbLancamentos[Equipamento],$C91,tbLancamentos[Momento da falha],"&gt;="&amp;$C$7,tbLancamentos[Momento da falha],"&lt;="&amp;$D$7),""))</f>
        <v/>
      </c>
      <c r="F91" s="97" t="str">
        <f>IF(C91="","",IFERROR(SUMIFS(tbLancamentos[Tempo devido],tbLancamentos[Equipamento],$C91,tbLancamentos[Momento da falha],"&gt;="&amp;$C$7,tbLancamentos[Momento da falha],"&lt;="&amp;$D$7),""))</f>
        <v/>
      </c>
      <c r="G9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1" s="127" t="str">
        <f t="shared" si="3"/>
        <v/>
      </c>
    </row>
    <row r="92" spans="2:9" ht="20.100000000000001" customHeight="1" x14ac:dyDescent="0.25">
      <c r="B92" s="94">
        <f>CadEqu!B88</f>
        <v>82</v>
      </c>
      <c r="C92" s="94" t="str">
        <f>IF(CadEqu!F88="","",CadEqu!F88)</f>
        <v/>
      </c>
      <c r="D92" s="97" t="str">
        <f>IF(C92="","",IFERROR(IF(SUMIFS(tbLancamentos[Tempo indisponível],tbLancamentos[Equipamento],$C92,tbLancamentos[Momento da falha],"&gt;="&amp;$C$7,tbLancamentos[Momento da falha],"&lt;="&amp;$D$7)&gt;$E$7,$E$7,SUMIFS(tbLancamentos[Tempo indisponível],tbLancamentos[Equipamento],$C92,tbLancamentos[Momento da falha],"&gt;="&amp;$C$7,tbLancamentos[Momento da falha],"&lt;="&amp;$D$7)),""))</f>
        <v/>
      </c>
      <c r="E92" s="97" t="str">
        <f>IF(C92="","",IFERROR(SUMIFS(tbLancamentos[Meta tempo reparo],tbLancamentos[Equipamento],$C92,tbLancamentos[Momento da falha],"&gt;="&amp;$C$7,tbLancamentos[Momento da falha],"&lt;="&amp;$D$7),""))</f>
        <v/>
      </c>
      <c r="F92" s="97" t="str">
        <f>IF(C92="","",IFERROR(SUMIFS(tbLancamentos[Tempo devido],tbLancamentos[Equipamento],$C92,tbLancamentos[Momento da falha],"&gt;="&amp;$C$7,tbLancamentos[Momento da falha],"&lt;="&amp;$D$7),""))</f>
        <v/>
      </c>
      <c r="G9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2" s="127" t="str">
        <f t="shared" si="3"/>
        <v/>
      </c>
    </row>
    <row r="93" spans="2:9" ht="20.100000000000001" customHeight="1" x14ac:dyDescent="0.25">
      <c r="B93" s="94">
        <f>CadEqu!B89</f>
        <v>83</v>
      </c>
      <c r="C93" s="94" t="str">
        <f>IF(CadEqu!F89="","",CadEqu!F89)</f>
        <v/>
      </c>
      <c r="D93" s="97" t="str">
        <f>IF(C93="","",IFERROR(IF(SUMIFS(tbLancamentos[Tempo indisponível],tbLancamentos[Equipamento],$C93,tbLancamentos[Momento da falha],"&gt;="&amp;$C$7,tbLancamentos[Momento da falha],"&lt;="&amp;$D$7)&gt;$E$7,$E$7,SUMIFS(tbLancamentos[Tempo indisponível],tbLancamentos[Equipamento],$C93,tbLancamentos[Momento da falha],"&gt;="&amp;$C$7,tbLancamentos[Momento da falha],"&lt;="&amp;$D$7)),""))</f>
        <v/>
      </c>
      <c r="E93" s="97" t="str">
        <f>IF(C93="","",IFERROR(SUMIFS(tbLancamentos[Meta tempo reparo],tbLancamentos[Equipamento],$C93,tbLancamentos[Momento da falha],"&gt;="&amp;$C$7,tbLancamentos[Momento da falha],"&lt;="&amp;$D$7),""))</f>
        <v/>
      </c>
      <c r="F93" s="97" t="str">
        <f>IF(C93="","",IFERROR(SUMIFS(tbLancamentos[Tempo devido],tbLancamentos[Equipamento],$C93,tbLancamentos[Momento da falha],"&gt;="&amp;$C$7,tbLancamentos[Momento da falha],"&lt;="&amp;$D$7),""))</f>
        <v/>
      </c>
      <c r="G9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3" s="127" t="str">
        <f t="shared" si="3"/>
        <v/>
      </c>
    </row>
    <row r="94" spans="2:9" ht="20.100000000000001" customHeight="1" x14ac:dyDescent="0.25">
      <c r="B94" s="94">
        <f>CadEqu!B90</f>
        <v>84</v>
      </c>
      <c r="C94" s="94" t="str">
        <f>IF(CadEqu!F90="","",CadEqu!F90)</f>
        <v/>
      </c>
      <c r="D94" s="97" t="str">
        <f>IF(C94="","",IFERROR(IF(SUMIFS(tbLancamentos[Tempo indisponível],tbLancamentos[Equipamento],$C94,tbLancamentos[Momento da falha],"&gt;="&amp;$C$7,tbLancamentos[Momento da falha],"&lt;="&amp;$D$7)&gt;$E$7,$E$7,SUMIFS(tbLancamentos[Tempo indisponível],tbLancamentos[Equipamento],$C94,tbLancamentos[Momento da falha],"&gt;="&amp;$C$7,tbLancamentos[Momento da falha],"&lt;="&amp;$D$7)),""))</f>
        <v/>
      </c>
      <c r="E94" s="97" t="str">
        <f>IF(C94="","",IFERROR(SUMIFS(tbLancamentos[Meta tempo reparo],tbLancamentos[Equipamento],$C94,tbLancamentos[Momento da falha],"&gt;="&amp;$C$7,tbLancamentos[Momento da falha],"&lt;="&amp;$D$7),""))</f>
        <v/>
      </c>
      <c r="F94" s="97" t="str">
        <f>IF(C94="","",IFERROR(SUMIFS(tbLancamentos[Tempo devido],tbLancamentos[Equipamento],$C94,tbLancamentos[Momento da falha],"&gt;="&amp;$C$7,tbLancamentos[Momento da falha],"&lt;="&amp;$D$7),""))</f>
        <v/>
      </c>
      <c r="G9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4" s="127" t="str">
        <f t="shared" si="3"/>
        <v/>
      </c>
    </row>
    <row r="95" spans="2:9" ht="20.100000000000001" customHeight="1" x14ac:dyDescent="0.25">
      <c r="B95" s="94">
        <f>CadEqu!B91</f>
        <v>85</v>
      </c>
      <c r="C95" s="94" t="str">
        <f>IF(CadEqu!F91="","",CadEqu!F91)</f>
        <v/>
      </c>
      <c r="D95" s="97" t="str">
        <f>IF(C95="","",IFERROR(IF(SUMIFS(tbLancamentos[Tempo indisponível],tbLancamentos[Equipamento],$C95,tbLancamentos[Momento da falha],"&gt;="&amp;$C$7,tbLancamentos[Momento da falha],"&lt;="&amp;$D$7)&gt;$E$7,$E$7,SUMIFS(tbLancamentos[Tempo indisponível],tbLancamentos[Equipamento],$C95,tbLancamentos[Momento da falha],"&gt;="&amp;$C$7,tbLancamentos[Momento da falha],"&lt;="&amp;$D$7)),""))</f>
        <v/>
      </c>
      <c r="E95" s="97" t="str">
        <f>IF(C95="","",IFERROR(SUMIFS(tbLancamentos[Meta tempo reparo],tbLancamentos[Equipamento],$C95,tbLancamentos[Momento da falha],"&gt;="&amp;$C$7,tbLancamentos[Momento da falha],"&lt;="&amp;$D$7),""))</f>
        <v/>
      </c>
      <c r="F95" s="97" t="str">
        <f>IF(C95="","",IFERROR(SUMIFS(tbLancamentos[Tempo devido],tbLancamentos[Equipamento],$C95,tbLancamentos[Momento da falha],"&gt;="&amp;$C$7,tbLancamentos[Momento da falha],"&lt;="&amp;$D$7),""))</f>
        <v/>
      </c>
      <c r="G9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5" s="127" t="str">
        <f t="shared" si="3"/>
        <v/>
      </c>
    </row>
    <row r="96" spans="2:9" ht="20.100000000000001" customHeight="1" x14ac:dyDescent="0.25">
      <c r="B96" s="94">
        <f>CadEqu!B92</f>
        <v>86</v>
      </c>
      <c r="C96" s="94" t="str">
        <f>IF(CadEqu!F92="","",CadEqu!F92)</f>
        <v/>
      </c>
      <c r="D96" s="97" t="str">
        <f>IF(C96="","",IFERROR(IF(SUMIFS(tbLancamentos[Tempo indisponível],tbLancamentos[Equipamento],$C96,tbLancamentos[Momento da falha],"&gt;="&amp;$C$7,tbLancamentos[Momento da falha],"&lt;="&amp;$D$7)&gt;$E$7,$E$7,SUMIFS(tbLancamentos[Tempo indisponível],tbLancamentos[Equipamento],$C96,tbLancamentos[Momento da falha],"&gt;="&amp;$C$7,tbLancamentos[Momento da falha],"&lt;="&amp;$D$7)),""))</f>
        <v/>
      </c>
      <c r="E96" s="97" t="str">
        <f>IF(C96="","",IFERROR(SUMIFS(tbLancamentos[Meta tempo reparo],tbLancamentos[Equipamento],$C96,tbLancamentos[Momento da falha],"&gt;="&amp;$C$7,tbLancamentos[Momento da falha],"&lt;="&amp;$D$7),""))</f>
        <v/>
      </c>
      <c r="F96" s="97" t="str">
        <f>IF(C96="","",IFERROR(SUMIFS(tbLancamentos[Tempo devido],tbLancamentos[Equipamento],$C96,tbLancamentos[Momento da falha],"&gt;="&amp;$C$7,tbLancamentos[Momento da falha],"&lt;="&amp;$D$7),""))</f>
        <v/>
      </c>
      <c r="G9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6" s="127" t="str">
        <f t="shared" si="3"/>
        <v/>
      </c>
    </row>
    <row r="97" spans="2:9" ht="20.100000000000001" customHeight="1" x14ac:dyDescent="0.25">
      <c r="B97" s="94">
        <f>CadEqu!B93</f>
        <v>87</v>
      </c>
      <c r="C97" s="94" t="str">
        <f>IF(CadEqu!F93="","",CadEqu!F93)</f>
        <v/>
      </c>
      <c r="D97" s="97" t="str">
        <f>IF(C97="","",IFERROR(IF(SUMIFS(tbLancamentos[Tempo indisponível],tbLancamentos[Equipamento],$C97,tbLancamentos[Momento da falha],"&gt;="&amp;$C$7,tbLancamentos[Momento da falha],"&lt;="&amp;$D$7)&gt;$E$7,$E$7,SUMIFS(tbLancamentos[Tempo indisponível],tbLancamentos[Equipamento],$C97,tbLancamentos[Momento da falha],"&gt;="&amp;$C$7,tbLancamentos[Momento da falha],"&lt;="&amp;$D$7)),""))</f>
        <v/>
      </c>
      <c r="E97" s="97" t="str">
        <f>IF(C97="","",IFERROR(SUMIFS(tbLancamentos[Meta tempo reparo],tbLancamentos[Equipamento],$C97,tbLancamentos[Momento da falha],"&gt;="&amp;$C$7,tbLancamentos[Momento da falha],"&lt;="&amp;$D$7),""))</f>
        <v/>
      </c>
      <c r="F97" s="97" t="str">
        <f>IF(C97="","",IFERROR(SUMIFS(tbLancamentos[Tempo devido],tbLancamentos[Equipamento],$C97,tbLancamentos[Momento da falha],"&gt;="&amp;$C$7,tbLancamentos[Momento da falha],"&lt;="&amp;$D$7),""))</f>
        <v/>
      </c>
      <c r="G9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7" s="127" t="str">
        <f t="shared" si="3"/>
        <v/>
      </c>
    </row>
    <row r="98" spans="2:9" ht="20.100000000000001" customHeight="1" x14ac:dyDescent="0.25">
      <c r="B98" s="94">
        <f>CadEqu!B94</f>
        <v>88</v>
      </c>
      <c r="C98" s="94" t="str">
        <f>IF(CadEqu!F94="","",CadEqu!F94)</f>
        <v/>
      </c>
      <c r="D98" s="97" t="str">
        <f>IF(C98="","",IFERROR(IF(SUMIFS(tbLancamentos[Tempo indisponível],tbLancamentos[Equipamento],$C98,tbLancamentos[Momento da falha],"&gt;="&amp;$C$7,tbLancamentos[Momento da falha],"&lt;="&amp;$D$7)&gt;$E$7,$E$7,SUMIFS(tbLancamentos[Tempo indisponível],tbLancamentos[Equipamento],$C98,tbLancamentos[Momento da falha],"&gt;="&amp;$C$7,tbLancamentos[Momento da falha],"&lt;="&amp;$D$7)),""))</f>
        <v/>
      </c>
      <c r="E98" s="97" t="str">
        <f>IF(C98="","",IFERROR(SUMIFS(tbLancamentos[Meta tempo reparo],tbLancamentos[Equipamento],$C98,tbLancamentos[Momento da falha],"&gt;="&amp;$C$7,tbLancamentos[Momento da falha],"&lt;="&amp;$D$7),""))</f>
        <v/>
      </c>
      <c r="F98" s="97" t="str">
        <f>IF(C98="","",IFERROR(SUMIFS(tbLancamentos[Tempo devido],tbLancamentos[Equipamento],$C98,tbLancamentos[Momento da falha],"&gt;="&amp;$C$7,tbLancamentos[Momento da falha],"&lt;="&amp;$D$7),""))</f>
        <v/>
      </c>
      <c r="G9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8" s="127" t="str">
        <f t="shared" si="3"/>
        <v/>
      </c>
    </row>
    <row r="99" spans="2:9" ht="20.100000000000001" customHeight="1" x14ac:dyDescent="0.25">
      <c r="B99" s="94">
        <f>CadEqu!B95</f>
        <v>89</v>
      </c>
      <c r="C99" s="94" t="str">
        <f>IF(CadEqu!F95="","",CadEqu!F95)</f>
        <v/>
      </c>
      <c r="D99" s="97" t="str">
        <f>IF(C99="","",IFERROR(IF(SUMIFS(tbLancamentos[Tempo indisponível],tbLancamentos[Equipamento],$C99,tbLancamentos[Momento da falha],"&gt;="&amp;$C$7,tbLancamentos[Momento da falha],"&lt;="&amp;$D$7)&gt;$E$7,$E$7,SUMIFS(tbLancamentos[Tempo indisponível],tbLancamentos[Equipamento],$C99,tbLancamentos[Momento da falha],"&gt;="&amp;$C$7,tbLancamentos[Momento da falha],"&lt;="&amp;$D$7)),""))</f>
        <v/>
      </c>
      <c r="E99" s="97" t="str">
        <f>IF(C99="","",IFERROR(SUMIFS(tbLancamentos[Meta tempo reparo],tbLancamentos[Equipamento],$C99,tbLancamentos[Momento da falha],"&gt;="&amp;$C$7,tbLancamentos[Momento da falha],"&lt;="&amp;$D$7),""))</f>
        <v/>
      </c>
      <c r="F99" s="97" t="str">
        <f>IF(C99="","",IFERROR(SUMIFS(tbLancamentos[Tempo devido],tbLancamentos[Equipamento],$C99,tbLancamentos[Momento da falha],"&gt;="&amp;$C$7,tbLancamentos[Momento da falha],"&lt;="&amp;$D$7),""))</f>
        <v/>
      </c>
      <c r="G9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9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99" s="127" t="str">
        <f t="shared" si="3"/>
        <v/>
      </c>
    </row>
    <row r="100" spans="2:9" ht="20.100000000000001" customHeight="1" x14ac:dyDescent="0.25">
      <c r="B100" s="94">
        <f>CadEqu!B96</f>
        <v>90</v>
      </c>
      <c r="C100" s="94" t="str">
        <f>IF(CadEqu!F96="","",CadEqu!F96)</f>
        <v/>
      </c>
      <c r="D100" s="97" t="str">
        <f>IF(C100="","",IFERROR(IF(SUMIFS(tbLancamentos[Tempo indisponível],tbLancamentos[Equipamento],$C100,tbLancamentos[Momento da falha],"&gt;="&amp;$C$7,tbLancamentos[Momento da falha],"&lt;="&amp;$D$7)&gt;$E$7,$E$7,SUMIFS(tbLancamentos[Tempo indisponível],tbLancamentos[Equipamento],$C100,tbLancamentos[Momento da falha],"&gt;="&amp;$C$7,tbLancamentos[Momento da falha],"&lt;="&amp;$D$7)),""))</f>
        <v/>
      </c>
      <c r="E100" s="97" t="str">
        <f>IF(C100="","",IFERROR(SUMIFS(tbLancamentos[Meta tempo reparo],tbLancamentos[Equipamento],$C100,tbLancamentos[Momento da falha],"&gt;="&amp;$C$7,tbLancamentos[Momento da falha],"&lt;="&amp;$D$7),""))</f>
        <v/>
      </c>
      <c r="F100" s="97" t="str">
        <f>IF(C100="","",IFERROR(SUMIFS(tbLancamentos[Tempo devido],tbLancamentos[Equipamento],$C100,tbLancamentos[Momento da falha],"&gt;="&amp;$C$7,tbLancamentos[Momento da falha],"&lt;="&amp;$D$7),""))</f>
        <v/>
      </c>
      <c r="G10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0" s="127" t="str">
        <f t="shared" si="3"/>
        <v/>
      </c>
    </row>
    <row r="101" spans="2:9" ht="20.100000000000001" customHeight="1" x14ac:dyDescent="0.25">
      <c r="B101" s="94">
        <f>CadEqu!B97</f>
        <v>91</v>
      </c>
      <c r="C101" s="94" t="str">
        <f>IF(CadEqu!F97="","",CadEqu!F97)</f>
        <v/>
      </c>
      <c r="D101" s="97" t="str">
        <f>IF(C101="","",IFERROR(IF(SUMIFS(tbLancamentos[Tempo indisponível],tbLancamentos[Equipamento],$C101,tbLancamentos[Momento da falha],"&gt;="&amp;$C$7,tbLancamentos[Momento da falha],"&lt;="&amp;$D$7)&gt;$E$7,$E$7,SUMIFS(tbLancamentos[Tempo indisponível],tbLancamentos[Equipamento],$C101,tbLancamentos[Momento da falha],"&gt;="&amp;$C$7,tbLancamentos[Momento da falha],"&lt;="&amp;$D$7)),""))</f>
        <v/>
      </c>
      <c r="E101" s="97" t="str">
        <f>IF(C101="","",IFERROR(SUMIFS(tbLancamentos[Meta tempo reparo],tbLancamentos[Equipamento],$C101,tbLancamentos[Momento da falha],"&gt;="&amp;$C$7,tbLancamentos[Momento da falha],"&lt;="&amp;$D$7),""))</f>
        <v/>
      </c>
      <c r="F101" s="97" t="str">
        <f>IF(C101="","",IFERROR(SUMIFS(tbLancamentos[Tempo devido],tbLancamentos[Equipamento],$C101,tbLancamentos[Momento da falha],"&gt;="&amp;$C$7,tbLancamentos[Momento da falha],"&lt;="&amp;$D$7),""))</f>
        <v/>
      </c>
      <c r="G10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1" s="127" t="str">
        <f t="shared" si="3"/>
        <v/>
      </c>
    </row>
    <row r="102" spans="2:9" ht="20.100000000000001" customHeight="1" x14ac:dyDescent="0.25">
      <c r="B102" s="94">
        <f>CadEqu!B98</f>
        <v>92</v>
      </c>
      <c r="C102" s="94" t="str">
        <f>IF(CadEqu!F98="","",CadEqu!F98)</f>
        <v/>
      </c>
      <c r="D102" s="97" t="str">
        <f>IF(C102="","",IFERROR(IF(SUMIFS(tbLancamentos[Tempo indisponível],tbLancamentos[Equipamento],$C102,tbLancamentos[Momento da falha],"&gt;="&amp;$C$7,tbLancamentos[Momento da falha],"&lt;="&amp;$D$7)&gt;$E$7,$E$7,SUMIFS(tbLancamentos[Tempo indisponível],tbLancamentos[Equipamento],$C102,tbLancamentos[Momento da falha],"&gt;="&amp;$C$7,tbLancamentos[Momento da falha],"&lt;="&amp;$D$7)),""))</f>
        <v/>
      </c>
      <c r="E102" s="97" t="str">
        <f>IF(C102="","",IFERROR(SUMIFS(tbLancamentos[Meta tempo reparo],tbLancamentos[Equipamento],$C102,tbLancamentos[Momento da falha],"&gt;="&amp;$C$7,tbLancamentos[Momento da falha],"&lt;="&amp;$D$7),""))</f>
        <v/>
      </c>
      <c r="F102" s="97" t="str">
        <f>IF(C102="","",IFERROR(SUMIFS(tbLancamentos[Tempo devido],tbLancamentos[Equipamento],$C102,tbLancamentos[Momento da falha],"&gt;="&amp;$C$7,tbLancamentos[Momento da falha],"&lt;="&amp;$D$7),""))</f>
        <v/>
      </c>
      <c r="G10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2" s="127" t="str">
        <f t="shared" si="3"/>
        <v/>
      </c>
    </row>
    <row r="103" spans="2:9" ht="20.100000000000001" customHeight="1" x14ac:dyDescent="0.25">
      <c r="B103" s="94">
        <f>CadEqu!B99</f>
        <v>93</v>
      </c>
      <c r="C103" s="94" t="str">
        <f>IF(CadEqu!F99="","",CadEqu!F99)</f>
        <v/>
      </c>
      <c r="D103" s="97" t="str">
        <f>IF(C103="","",IFERROR(IF(SUMIFS(tbLancamentos[Tempo indisponível],tbLancamentos[Equipamento],$C103,tbLancamentos[Momento da falha],"&gt;="&amp;$C$7,tbLancamentos[Momento da falha],"&lt;="&amp;$D$7)&gt;$E$7,$E$7,SUMIFS(tbLancamentos[Tempo indisponível],tbLancamentos[Equipamento],$C103,tbLancamentos[Momento da falha],"&gt;="&amp;$C$7,tbLancamentos[Momento da falha],"&lt;="&amp;$D$7)),""))</f>
        <v/>
      </c>
      <c r="E103" s="97" t="str">
        <f>IF(C103="","",IFERROR(SUMIFS(tbLancamentos[Meta tempo reparo],tbLancamentos[Equipamento],$C103,tbLancamentos[Momento da falha],"&gt;="&amp;$C$7,tbLancamentos[Momento da falha],"&lt;="&amp;$D$7),""))</f>
        <v/>
      </c>
      <c r="F103" s="97" t="str">
        <f>IF(C103="","",IFERROR(SUMIFS(tbLancamentos[Tempo devido],tbLancamentos[Equipamento],$C103,tbLancamentos[Momento da falha],"&gt;="&amp;$C$7,tbLancamentos[Momento da falha],"&lt;="&amp;$D$7),""))</f>
        <v/>
      </c>
      <c r="G10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3" s="127" t="str">
        <f t="shared" si="3"/>
        <v/>
      </c>
    </row>
    <row r="104" spans="2:9" ht="20.100000000000001" customHeight="1" x14ac:dyDescent="0.25">
      <c r="B104" s="94">
        <f>CadEqu!B100</f>
        <v>94</v>
      </c>
      <c r="C104" s="94" t="str">
        <f>IF(CadEqu!F100="","",CadEqu!F100)</f>
        <v/>
      </c>
      <c r="D104" s="97" t="str">
        <f>IF(C104="","",IFERROR(IF(SUMIFS(tbLancamentos[Tempo indisponível],tbLancamentos[Equipamento],$C104,tbLancamentos[Momento da falha],"&gt;="&amp;$C$7,tbLancamentos[Momento da falha],"&lt;="&amp;$D$7)&gt;$E$7,$E$7,SUMIFS(tbLancamentos[Tempo indisponível],tbLancamentos[Equipamento],$C104,tbLancamentos[Momento da falha],"&gt;="&amp;$C$7,tbLancamentos[Momento da falha],"&lt;="&amp;$D$7)),""))</f>
        <v/>
      </c>
      <c r="E104" s="97" t="str">
        <f>IF(C104="","",IFERROR(SUMIFS(tbLancamentos[Meta tempo reparo],tbLancamentos[Equipamento],$C104,tbLancamentos[Momento da falha],"&gt;="&amp;$C$7,tbLancamentos[Momento da falha],"&lt;="&amp;$D$7),""))</f>
        <v/>
      </c>
      <c r="F104" s="97" t="str">
        <f>IF(C104="","",IFERROR(SUMIFS(tbLancamentos[Tempo devido],tbLancamentos[Equipamento],$C104,tbLancamentos[Momento da falha],"&gt;="&amp;$C$7,tbLancamentos[Momento da falha],"&lt;="&amp;$D$7),""))</f>
        <v/>
      </c>
      <c r="G10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4" s="127" t="str">
        <f t="shared" si="3"/>
        <v/>
      </c>
    </row>
    <row r="105" spans="2:9" ht="20.100000000000001" customHeight="1" x14ac:dyDescent="0.25">
      <c r="B105" s="94">
        <f>CadEqu!B101</f>
        <v>95</v>
      </c>
      <c r="C105" s="94" t="str">
        <f>IF(CadEqu!F101="","",CadEqu!F101)</f>
        <v/>
      </c>
      <c r="D105" s="97" t="str">
        <f>IF(C105="","",IFERROR(IF(SUMIFS(tbLancamentos[Tempo indisponível],tbLancamentos[Equipamento],$C105,tbLancamentos[Momento da falha],"&gt;="&amp;$C$7,tbLancamentos[Momento da falha],"&lt;="&amp;$D$7)&gt;$E$7,$E$7,SUMIFS(tbLancamentos[Tempo indisponível],tbLancamentos[Equipamento],$C105,tbLancamentos[Momento da falha],"&gt;="&amp;$C$7,tbLancamentos[Momento da falha],"&lt;="&amp;$D$7)),""))</f>
        <v/>
      </c>
      <c r="E105" s="97" t="str">
        <f>IF(C105="","",IFERROR(SUMIFS(tbLancamentos[Meta tempo reparo],tbLancamentos[Equipamento],$C105,tbLancamentos[Momento da falha],"&gt;="&amp;$C$7,tbLancamentos[Momento da falha],"&lt;="&amp;$D$7),""))</f>
        <v/>
      </c>
      <c r="F105" s="97" t="str">
        <f>IF(C105="","",IFERROR(SUMIFS(tbLancamentos[Tempo devido],tbLancamentos[Equipamento],$C105,tbLancamentos[Momento da falha],"&gt;="&amp;$C$7,tbLancamentos[Momento da falha],"&lt;="&amp;$D$7),""))</f>
        <v/>
      </c>
      <c r="G10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5" s="127" t="str">
        <f t="shared" si="3"/>
        <v/>
      </c>
    </row>
    <row r="106" spans="2:9" ht="20.100000000000001" customHeight="1" x14ac:dyDescent="0.25">
      <c r="B106" s="94">
        <f>CadEqu!B102</f>
        <v>96</v>
      </c>
      <c r="C106" s="94" t="str">
        <f>IF(CadEqu!F102="","",CadEqu!F102)</f>
        <v/>
      </c>
      <c r="D106" s="97" t="str">
        <f>IF(C106="","",IFERROR(IF(SUMIFS(tbLancamentos[Tempo indisponível],tbLancamentos[Equipamento],$C106,tbLancamentos[Momento da falha],"&gt;="&amp;$C$7,tbLancamentos[Momento da falha],"&lt;="&amp;$D$7)&gt;$E$7,$E$7,SUMIFS(tbLancamentos[Tempo indisponível],tbLancamentos[Equipamento],$C106,tbLancamentos[Momento da falha],"&gt;="&amp;$C$7,tbLancamentos[Momento da falha],"&lt;="&amp;$D$7)),""))</f>
        <v/>
      </c>
      <c r="E106" s="97" t="str">
        <f>IF(C106="","",IFERROR(SUMIFS(tbLancamentos[Meta tempo reparo],tbLancamentos[Equipamento],$C106,tbLancamentos[Momento da falha],"&gt;="&amp;$C$7,tbLancamentos[Momento da falha],"&lt;="&amp;$D$7),""))</f>
        <v/>
      </c>
      <c r="F106" s="97" t="str">
        <f>IF(C106="","",IFERROR(SUMIFS(tbLancamentos[Tempo devido],tbLancamentos[Equipamento],$C106,tbLancamentos[Momento da falha],"&gt;="&amp;$C$7,tbLancamentos[Momento da falha],"&lt;="&amp;$D$7),""))</f>
        <v/>
      </c>
      <c r="G10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6" s="127" t="str">
        <f t="shared" si="3"/>
        <v/>
      </c>
    </row>
    <row r="107" spans="2:9" ht="20.100000000000001" customHeight="1" x14ac:dyDescent="0.25">
      <c r="B107" s="94">
        <f>CadEqu!B103</f>
        <v>97</v>
      </c>
      <c r="C107" s="94" t="str">
        <f>IF(CadEqu!F103="","",CadEqu!F103)</f>
        <v/>
      </c>
      <c r="D107" s="97" t="str">
        <f>IF(C107="","",IFERROR(IF(SUMIFS(tbLancamentos[Tempo indisponível],tbLancamentos[Equipamento],$C107,tbLancamentos[Momento da falha],"&gt;="&amp;$C$7,tbLancamentos[Momento da falha],"&lt;="&amp;$D$7)&gt;$E$7,$E$7,SUMIFS(tbLancamentos[Tempo indisponível],tbLancamentos[Equipamento],$C107,tbLancamentos[Momento da falha],"&gt;="&amp;$C$7,tbLancamentos[Momento da falha],"&lt;="&amp;$D$7)),""))</f>
        <v/>
      </c>
      <c r="E107" s="97" t="str">
        <f>IF(C107="","",IFERROR(SUMIFS(tbLancamentos[Meta tempo reparo],tbLancamentos[Equipamento],$C107,tbLancamentos[Momento da falha],"&gt;="&amp;$C$7,tbLancamentos[Momento da falha],"&lt;="&amp;$D$7),""))</f>
        <v/>
      </c>
      <c r="F107" s="97" t="str">
        <f>IF(C107="","",IFERROR(SUMIFS(tbLancamentos[Tempo devido],tbLancamentos[Equipamento],$C107,tbLancamentos[Momento da falha],"&gt;="&amp;$C$7,tbLancamentos[Momento da falha],"&lt;="&amp;$D$7),""))</f>
        <v/>
      </c>
      <c r="G10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7" s="127" t="str">
        <f t="shared" si="3"/>
        <v/>
      </c>
    </row>
    <row r="108" spans="2:9" ht="20.100000000000001" customHeight="1" x14ac:dyDescent="0.25">
      <c r="B108" s="94">
        <f>CadEqu!B104</f>
        <v>98</v>
      </c>
      <c r="C108" s="94" t="str">
        <f>IF(CadEqu!F104="","",CadEqu!F104)</f>
        <v/>
      </c>
      <c r="D108" s="97" t="str">
        <f>IF(C108="","",IFERROR(IF(SUMIFS(tbLancamentos[Tempo indisponível],tbLancamentos[Equipamento],$C108,tbLancamentos[Momento da falha],"&gt;="&amp;$C$7,tbLancamentos[Momento da falha],"&lt;="&amp;$D$7)&gt;$E$7,$E$7,SUMIFS(tbLancamentos[Tempo indisponível],tbLancamentos[Equipamento],$C108,tbLancamentos[Momento da falha],"&gt;="&amp;$C$7,tbLancamentos[Momento da falha],"&lt;="&amp;$D$7)),""))</f>
        <v/>
      </c>
      <c r="E108" s="97" t="str">
        <f>IF(C108="","",IFERROR(SUMIFS(tbLancamentos[Meta tempo reparo],tbLancamentos[Equipamento],$C108,tbLancamentos[Momento da falha],"&gt;="&amp;$C$7,tbLancamentos[Momento da falha],"&lt;="&amp;$D$7),""))</f>
        <v/>
      </c>
      <c r="F108" s="97" t="str">
        <f>IF(C108="","",IFERROR(SUMIFS(tbLancamentos[Tempo devido],tbLancamentos[Equipamento],$C108,tbLancamentos[Momento da falha],"&gt;="&amp;$C$7,tbLancamentos[Momento da falha],"&lt;="&amp;$D$7),""))</f>
        <v/>
      </c>
      <c r="G10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8" s="127" t="str">
        <f t="shared" si="3"/>
        <v/>
      </c>
    </row>
    <row r="109" spans="2:9" ht="20.100000000000001" customHeight="1" x14ac:dyDescent="0.25">
      <c r="B109" s="94">
        <f>CadEqu!B105</f>
        <v>99</v>
      </c>
      <c r="C109" s="94" t="str">
        <f>IF(CadEqu!F105="","",CadEqu!F105)</f>
        <v/>
      </c>
      <c r="D109" s="97" t="str">
        <f>IF(C109="","",IFERROR(IF(SUMIFS(tbLancamentos[Tempo indisponível],tbLancamentos[Equipamento],$C109,tbLancamentos[Momento da falha],"&gt;="&amp;$C$7,tbLancamentos[Momento da falha],"&lt;="&amp;$D$7)&gt;$E$7,$E$7,SUMIFS(tbLancamentos[Tempo indisponível],tbLancamentos[Equipamento],$C109,tbLancamentos[Momento da falha],"&gt;="&amp;$C$7,tbLancamentos[Momento da falha],"&lt;="&amp;$D$7)),""))</f>
        <v/>
      </c>
      <c r="E109" s="97" t="str">
        <f>IF(C109="","",IFERROR(SUMIFS(tbLancamentos[Meta tempo reparo],tbLancamentos[Equipamento],$C109,tbLancamentos[Momento da falha],"&gt;="&amp;$C$7,tbLancamentos[Momento da falha],"&lt;="&amp;$D$7),""))</f>
        <v/>
      </c>
      <c r="F109" s="97" t="str">
        <f>IF(C109="","",IFERROR(SUMIFS(tbLancamentos[Tempo devido],tbLancamentos[Equipamento],$C109,tbLancamentos[Momento da falha],"&gt;="&amp;$C$7,tbLancamentos[Momento da falha],"&lt;="&amp;$D$7),""))</f>
        <v/>
      </c>
      <c r="G10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0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09" s="127" t="str">
        <f t="shared" si="3"/>
        <v/>
      </c>
    </row>
    <row r="110" spans="2:9" ht="20.100000000000001" customHeight="1" x14ac:dyDescent="0.25">
      <c r="B110" s="94">
        <f>CadEqu!B106</f>
        <v>100</v>
      </c>
      <c r="C110" s="94" t="str">
        <f>IF(CadEqu!F106="","",CadEqu!F106)</f>
        <v/>
      </c>
      <c r="D110" s="97" t="str">
        <f>IF(C110="","",IFERROR(IF(SUMIFS(tbLancamentos[Tempo indisponível],tbLancamentos[Equipamento],$C110,tbLancamentos[Momento da falha],"&gt;="&amp;$C$7,tbLancamentos[Momento da falha],"&lt;="&amp;$D$7)&gt;$E$7,$E$7,SUMIFS(tbLancamentos[Tempo indisponível],tbLancamentos[Equipamento],$C110,tbLancamentos[Momento da falha],"&gt;="&amp;$C$7,tbLancamentos[Momento da falha],"&lt;="&amp;$D$7)),""))</f>
        <v/>
      </c>
      <c r="E110" s="97" t="str">
        <f>IF(C110="","",IFERROR(SUMIFS(tbLancamentos[Meta tempo reparo],tbLancamentos[Equipamento],$C110,tbLancamentos[Momento da falha],"&gt;="&amp;$C$7,tbLancamentos[Momento da falha],"&lt;="&amp;$D$7),""))</f>
        <v/>
      </c>
      <c r="F110" s="97" t="str">
        <f>IF(C110="","",IFERROR(SUMIFS(tbLancamentos[Tempo devido],tbLancamentos[Equipamento],$C110,tbLancamentos[Momento da falha],"&gt;="&amp;$C$7,tbLancamentos[Momento da falha],"&lt;="&amp;$D$7),""))</f>
        <v/>
      </c>
      <c r="G11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0" s="127" t="str">
        <f t="shared" si="3"/>
        <v/>
      </c>
    </row>
    <row r="111" spans="2:9" ht="20.100000000000001" customHeight="1" x14ac:dyDescent="0.25">
      <c r="B111" s="94">
        <f>CadEqu!B107</f>
        <v>101</v>
      </c>
      <c r="C111" s="94" t="str">
        <f>IF(CadEqu!F107="","",CadEqu!F107)</f>
        <v/>
      </c>
      <c r="D111" s="97" t="str">
        <f>IF(C111="","",IFERROR(IF(SUMIFS(tbLancamentos[Tempo indisponível],tbLancamentos[Equipamento],$C111,tbLancamentos[Momento da falha],"&gt;="&amp;$C$7,tbLancamentos[Momento da falha],"&lt;="&amp;$D$7)&gt;$E$7,$E$7,SUMIFS(tbLancamentos[Tempo indisponível],tbLancamentos[Equipamento],$C111,tbLancamentos[Momento da falha],"&gt;="&amp;$C$7,tbLancamentos[Momento da falha],"&lt;="&amp;$D$7)),""))</f>
        <v/>
      </c>
      <c r="E111" s="97" t="str">
        <f>IF(C111="","",IFERROR(SUMIFS(tbLancamentos[Meta tempo reparo],tbLancamentos[Equipamento],$C111,tbLancamentos[Momento da falha],"&gt;="&amp;$C$7,tbLancamentos[Momento da falha],"&lt;="&amp;$D$7),""))</f>
        <v/>
      </c>
      <c r="F111" s="97" t="str">
        <f>IF(C111="","",IFERROR(SUMIFS(tbLancamentos[Tempo devido],tbLancamentos[Equipamento],$C111,tbLancamentos[Momento da falha],"&gt;="&amp;$C$7,tbLancamentos[Momento da falha],"&lt;="&amp;$D$7),""))</f>
        <v/>
      </c>
      <c r="G11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1" s="127" t="str">
        <f t="shared" si="3"/>
        <v/>
      </c>
    </row>
    <row r="112" spans="2:9" ht="20.100000000000001" customHeight="1" x14ac:dyDescent="0.25">
      <c r="B112" s="94">
        <f>CadEqu!B108</f>
        <v>102</v>
      </c>
      <c r="C112" s="94" t="str">
        <f>IF(CadEqu!F108="","",CadEqu!F108)</f>
        <v/>
      </c>
      <c r="D112" s="97" t="str">
        <f>IF(C112="","",IFERROR(IF(SUMIFS(tbLancamentos[Tempo indisponível],tbLancamentos[Equipamento],$C112,tbLancamentos[Momento da falha],"&gt;="&amp;$C$7,tbLancamentos[Momento da falha],"&lt;="&amp;$D$7)&gt;$E$7,$E$7,SUMIFS(tbLancamentos[Tempo indisponível],tbLancamentos[Equipamento],$C112,tbLancamentos[Momento da falha],"&gt;="&amp;$C$7,tbLancamentos[Momento da falha],"&lt;="&amp;$D$7)),""))</f>
        <v/>
      </c>
      <c r="E112" s="97" t="str">
        <f>IF(C112="","",IFERROR(SUMIFS(tbLancamentos[Meta tempo reparo],tbLancamentos[Equipamento],$C112,tbLancamentos[Momento da falha],"&gt;="&amp;$C$7,tbLancamentos[Momento da falha],"&lt;="&amp;$D$7),""))</f>
        <v/>
      </c>
      <c r="F112" s="97" t="str">
        <f>IF(C112="","",IFERROR(SUMIFS(tbLancamentos[Tempo devido],tbLancamentos[Equipamento],$C112,tbLancamentos[Momento da falha],"&gt;="&amp;$C$7,tbLancamentos[Momento da falha],"&lt;="&amp;$D$7),""))</f>
        <v/>
      </c>
      <c r="G11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2" s="127" t="str">
        <f t="shared" si="3"/>
        <v/>
      </c>
    </row>
    <row r="113" spans="2:9" ht="20.100000000000001" customHeight="1" x14ac:dyDescent="0.25">
      <c r="B113" s="94">
        <f>CadEqu!B109</f>
        <v>103</v>
      </c>
      <c r="C113" s="94" t="str">
        <f>IF(CadEqu!F109="","",CadEqu!F109)</f>
        <v/>
      </c>
      <c r="D113" s="97" t="str">
        <f>IF(C113="","",IFERROR(IF(SUMIFS(tbLancamentos[Tempo indisponível],tbLancamentos[Equipamento],$C113,tbLancamentos[Momento da falha],"&gt;="&amp;$C$7,tbLancamentos[Momento da falha],"&lt;="&amp;$D$7)&gt;$E$7,$E$7,SUMIFS(tbLancamentos[Tempo indisponível],tbLancamentos[Equipamento],$C113,tbLancamentos[Momento da falha],"&gt;="&amp;$C$7,tbLancamentos[Momento da falha],"&lt;="&amp;$D$7)),""))</f>
        <v/>
      </c>
      <c r="E113" s="97" t="str">
        <f>IF(C113="","",IFERROR(SUMIFS(tbLancamentos[Meta tempo reparo],tbLancamentos[Equipamento],$C113,tbLancamentos[Momento da falha],"&gt;="&amp;$C$7,tbLancamentos[Momento da falha],"&lt;="&amp;$D$7),""))</f>
        <v/>
      </c>
      <c r="F113" s="97" t="str">
        <f>IF(C113="","",IFERROR(SUMIFS(tbLancamentos[Tempo devido],tbLancamentos[Equipamento],$C113,tbLancamentos[Momento da falha],"&gt;="&amp;$C$7,tbLancamentos[Momento da falha],"&lt;="&amp;$D$7),""))</f>
        <v/>
      </c>
      <c r="G11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3" s="127" t="str">
        <f t="shared" si="3"/>
        <v/>
      </c>
    </row>
    <row r="114" spans="2:9" ht="20.100000000000001" customHeight="1" x14ac:dyDescent="0.25">
      <c r="B114" s="94">
        <f>CadEqu!B110</f>
        <v>104</v>
      </c>
      <c r="C114" s="94" t="str">
        <f>IF(CadEqu!F110="","",CadEqu!F110)</f>
        <v/>
      </c>
      <c r="D114" s="97" t="str">
        <f>IF(C114="","",IFERROR(IF(SUMIFS(tbLancamentos[Tempo indisponível],tbLancamentos[Equipamento],$C114,tbLancamentos[Momento da falha],"&gt;="&amp;$C$7,tbLancamentos[Momento da falha],"&lt;="&amp;$D$7)&gt;$E$7,$E$7,SUMIFS(tbLancamentos[Tempo indisponível],tbLancamentos[Equipamento],$C114,tbLancamentos[Momento da falha],"&gt;="&amp;$C$7,tbLancamentos[Momento da falha],"&lt;="&amp;$D$7)),""))</f>
        <v/>
      </c>
      <c r="E114" s="97" t="str">
        <f>IF(C114="","",IFERROR(SUMIFS(tbLancamentos[Meta tempo reparo],tbLancamentos[Equipamento],$C114,tbLancamentos[Momento da falha],"&gt;="&amp;$C$7,tbLancamentos[Momento da falha],"&lt;="&amp;$D$7),""))</f>
        <v/>
      </c>
      <c r="F114" s="97" t="str">
        <f>IF(C114="","",IFERROR(SUMIFS(tbLancamentos[Tempo devido],tbLancamentos[Equipamento],$C114,tbLancamentos[Momento da falha],"&gt;="&amp;$C$7,tbLancamentos[Momento da falha],"&lt;="&amp;$D$7),""))</f>
        <v/>
      </c>
      <c r="G11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4" s="127" t="str">
        <f t="shared" si="3"/>
        <v/>
      </c>
    </row>
    <row r="115" spans="2:9" ht="20.100000000000001" customHeight="1" x14ac:dyDescent="0.25">
      <c r="B115" s="94">
        <f>CadEqu!B111</f>
        <v>105</v>
      </c>
      <c r="C115" s="94" t="str">
        <f>IF(CadEqu!F111="","",CadEqu!F111)</f>
        <v/>
      </c>
      <c r="D115" s="97" t="str">
        <f>IF(C115="","",IFERROR(IF(SUMIFS(tbLancamentos[Tempo indisponível],tbLancamentos[Equipamento],$C115,tbLancamentos[Momento da falha],"&gt;="&amp;$C$7,tbLancamentos[Momento da falha],"&lt;="&amp;$D$7)&gt;$E$7,$E$7,SUMIFS(tbLancamentos[Tempo indisponível],tbLancamentos[Equipamento],$C115,tbLancamentos[Momento da falha],"&gt;="&amp;$C$7,tbLancamentos[Momento da falha],"&lt;="&amp;$D$7)),""))</f>
        <v/>
      </c>
      <c r="E115" s="97" t="str">
        <f>IF(C115="","",IFERROR(SUMIFS(tbLancamentos[Meta tempo reparo],tbLancamentos[Equipamento],$C115,tbLancamentos[Momento da falha],"&gt;="&amp;$C$7,tbLancamentos[Momento da falha],"&lt;="&amp;$D$7),""))</f>
        <v/>
      </c>
      <c r="F115" s="97" t="str">
        <f>IF(C115="","",IFERROR(SUMIFS(tbLancamentos[Tempo devido],tbLancamentos[Equipamento],$C115,tbLancamentos[Momento da falha],"&gt;="&amp;$C$7,tbLancamentos[Momento da falha],"&lt;="&amp;$D$7),""))</f>
        <v/>
      </c>
      <c r="G11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5" s="127" t="str">
        <f t="shared" si="3"/>
        <v/>
      </c>
    </row>
    <row r="116" spans="2:9" ht="20.100000000000001" customHeight="1" x14ac:dyDescent="0.25">
      <c r="B116" s="94">
        <f>CadEqu!B112</f>
        <v>106</v>
      </c>
      <c r="C116" s="94" t="str">
        <f>IF(CadEqu!F112="","",CadEqu!F112)</f>
        <v/>
      </c>
      <c r="D116" s="97" t="str">
        <f>IF(C116="","",IFERROR(IF(SUMIFS(tbLancamentos[Tempo indisponível],tbLancamentos[Equipamento],$C116,tbLancamentos[Momento da falha],"&gt;="&amp;$C$7,tbLancamentos[Momento da falha],"&lt;="&amp;$D$7)&gt;$E$7,$E$7,SUMIFS(tbLancamentos[Tempo indisponível],tbLancamentos[Equipamento],$C116,tbLancamentos[Momento da falha],"&gt;="&amp;$C$7,tbLancamentos[Momento da falha],"&lt;="&amp;$D$7)),""))</f>
        <v/>
      </c>
      <c r="E116" s="97" t="str">
        <f>IF(C116="","",IFERROR(SUMIFS(tbLancamentos[Meta tempo reparo],tbLancamentos[Equipamento],$C116,tbLancamentos[Momento da falha],"&gt;="&amp;$C$7,tbLancamentos[Momento da falha],"&lt;="&amp;$D$7),""))</f>
        <v/>
      </c>
      <c r="F116" s="97" t="str">
        <f>IF(C116="","",IFERROR(SUMIFS(tbLancamentos[Tempo devido],tbLancamentos[Equipamento],$C116,tbLancamentos[Momento da falha],"&gt;="&amp;$C$7,tbLancamentos[Momento da falha],"&lt;="&amp;$D$7),""))</f>
        <v/>
      </c>
      <c r="G11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6" s="127" t="str">
        <f t="shared" si="3"/>
        <v/>
      </c>
    </row>
    <row r="117" spans="2:9" ht="20.100000000000001" customHeight="1" x14ac:dyDescent="0.25">
      <c r="B117" s="94">
        <f>CadEqu!B113</f>
        <v>107</v>
      </c>
      <c r="C117" s="94" t="str">
        <f>IF(CadEqu!F113="","",CadEqu!F113)</f>
        <v/>
      </c>
      <c r="D117" s="97" t="str">
        <f>IF(C117="","",IFERROR(IF(SUMIFS(tbLancamentos[Tempo indisponível],tbLancamentos[Equipamento],$C117,tbLancamentos[Momento da falha],"&gt;="&amp;$C$7,tbLancamentos[Momento da falha],"&lt;="&amp;$D$7)&gt;$E$7,$E$7,SUMIFS(tbLancamentos[Tempo indisponível],tbLancamentos[Equipamento],$C117,tbLancamentos[Momento da falha],"&gt;="&amp;$C$7,tbLancamentos[Momento da falha],"&lt;="&amp;$D$7)),""))</f>
        <v/>
      </c>
      <c r="E117" s="97" t="str">
        <f>IF(C117="","",IFERROR(SUMIFS(tbLancamentos[Meta tempo reparo],tbLancamentos[Equipamento],$C117,tbLancamentos[Momento da falha],"&gt;="&amp;$C$7,tbLancamentos[Momento da falha],"&lt;="&amp;$D$7),""))</f>
        <v/>
      </c>
      <c r="F117" s="97" t="str">
        <f>IF(C117="","",IFERROR(SUMIFS(tbLancamentos[Tempo devido],tbLancamentos[Equipamento],$C117,tbLancamentos[Momento da falha],"&gt;="&amp;$C$7,tbLancamentos[Momento da falha],"&lt;="&amp;$D$7),""))</f>
        <v/>
      </c>
      <c r="G11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7" s="127" t="str">
        <f t="shared" si="3"/>
        <v/>
      </c>
    </row>
    <row r="118" spans="2:9" ht="20.100000000000001" customHeight="1" x14ac:dyDescent="0.25">
      <c r="B118" s="94">
        <f>CadEqu!B114</f>
        <v>108</v>
      </c>
      <c r="C118" s="94" t="str">
        <f>IF(CadEqu!F114="","",CadEqu!F114)</f>
        <v/>
      </c>
      <c r="D118" s="97" t="str">
        <f>IF(C118="","",IFERROR(IF(SUMIFS(tbLancamentos[Tempo indisponível],tbLancamentos[Equipamento],$C118,tbLancamentos[Momento da falha],"&gt;="&amp;$C$7,tbLancamentos[Momento da falha],"&lt;="&amp;$D$7)&gt;$E$7,$E$7,SUMIFS(tbLancamentos[Tempo indisponível],tbLancamentos[Equipamento],$C118,tbLancamentos[Momento da falha],"&gt;="&amp;$C$7,tbLancamentos[Momento da falha],"&lt;="&amp;$D$7)),""))</f>
        <v/>
      </c>
      <c r="E118" s="97" t="str">
        <f>IF(C118="","",IFERROR(SUMIFS(tbLancamentos[Meta tempo reparo],tbLancamentos[Equipamento],$C118,tbLancamentos[Momento da falha],"&gt;="&amp;$C$7,tbLancamentos[Momento da falha],"&lt;="&amp;$D$7),""))</f>
        <v/>
      </c>
      <c r="F118" s="97" t="str">
        <f>IF(C118="","",IFERROR(SUMIFS(tbLancamentos[Tempo devido],tbLancamentos[Equipamento],$C118,tbLancamentos[Momento da falha],"&gt;="&amp;$C$7,tbLancamentos[Momento da falha],"&lt;="&amp;$D$7),""))</f>
        <v/>
      </c>
      <c r="G11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8" s="127" t="str">
        <f t="shared" si="3"/>
        <v/>
      </c>
    </row>
    <row r="119" spans="2:9" ht="20.100000000000001" customHeight="1" x14ac:dyDescent="0.25">
      <c r="B119" s="94">
        <f>CadEqu!B115</f>
        <v>109</v>
      </c>
      <c r="C119" s="94" t="str">
        <f>IF(CadEqu!F115="","",CadEqu!F115)</f>
        <v/>
      </c>
      <c r="D119" s="97" t="str">
        <f>IF(C119="","",IFERROR(IF(SUMIFS(tbLancamentos[Tempo indisponível],tbLancamentos[Equipamento],$C119,tbLancamentos[Momento da falha],"&gt;="&amp;$C$7,tbLancamentos[Momento da falha],"&lt;="&amp;$D$7)&gt;$E$7,$E$7,SUMIFS(tbLancamentos[Tempo indisponível],tbLancamentos[Equipamento],$C119,tbLancamentos[Momento da falha],"&gt;="&amp;$C$7,tbLancamentos[Momento da falha],"&lt;="&amp;$D$7)),""))</f>
        <v/>
      </c>
      <c r="E119" s="97" t="str">
        <f>IF(C119="","",IFERROR(SUMIFS(tbLancamentos[Meta tempo reparo],tbLancamentos[Equipamento],$C119,tbLancamentos[Momento da falha],"&gt;="&amp;$C$7,tbLancamentos[Momento da falha],"&lt;="&amp;$D$7),""))</f>
        <v/>
      </c>
      <c r="F119" s="97" t="str">
        <f>IF(C119="","",IFERROR(SUMIFS(tbLancamentos[Tempo devido],tbLancamentos[Equipamento],$C119,tbLancamentos[Momento da falha],"&gt;="&amp;$C$7,tbLancamentos[Momento da falha],"&lt;="&amp;$D$7),""))</f>
        <v/>
      </c>
      <c r="G11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1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19" s="127" t="str">
        <f t="shared" si="3"/>
        <v/>
      </c>
    </row>
    <row r="120" spans="2:9" ht="20.100000000000001" customHeight="1" x14ac:dyDescent="0.25">
      <c r="B120" s="94">
        <f>CadEqu!B116</f>
        <v>110</v>
      </c>
      <c r="C120" s="94" t="str">
        <f>IF(CadEqu!F116="","",CadEqu!F116)</f>
        <v/>
      </c>
      <c r="D120" s="97" t="str">
        <f>IF(C120="","",IFERROR(IF(SUMIFS(tbLancamentos[Tempo indisponível],tbLancamentos[Equipamento],$C120,tbLancamentos[Momento da falha],"&gt;="&amp;$C$7,tbLancamentos[Momento da falha],"&lt;="&amp;$D$7)&gt;$E$7,$E$7,SUMIFS(tbLancamentos[Tempo indisponível],tbLancamentos[Equipamento],$C120,tbLancamentos[Momento da falha],"&gt;="&amp;$C$7,tbLancamentos[Momento da falha],"&lt;="&amp;$D$7)),""))</f>
        <v/>
      </c>
      <c r="E120" s="97" t="str">
        <f>IF(C120="","",IFERROR(SUMIFS(tbLancamentos[Meta tempo reparo],tbLancamentos[Equipamento],$C120,tbLancamentos[Momento da falha],"&gt;="&amp;$C$7,tbLancamentos[Momento da falha],"&lt;="&amp;$D$7),""))</f>
        <v/>
      </c>
      <c r="F120" s="97" t="str">
        <f>IF(C120="","",IFERROR(SUMIFS(tbLancamentos[Tempo devido],tbLancamentos[Equipamento],$C120,tbLancamentos[Momento da falha],"&gt;="&amp;$C$7,tbLancamentos[Momento da falha],"&lt;="&amp;$D$7),""))</f>
        <v/>
      </c>
      <c r="G12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0" s="127" t="str">
        <f t="shared" si="3"/>
        <v/>
      </c>
    </row>
    <row r="121" spans="2:9" ht="20.100000000000001" customHeight="1" x14ac:dyDescent="0.25">
      <c r="B121" s="94">
        <f>CadEqu!B117</f>
        <v>111</v>
      </c>
      <c r="C121" s="94" t="str">
        <f>IF(CadEqu!F117="","",CadEqu!F117)</f>
        <v/>
      </c>
      <c r="D121" s="97" t="str">
        <f>IF(C121="","",IFERROR(IF(SUMIFS(tbLancamentos[Tempo indisponível],tbLancamentos[Equipamento],$C121,tbLancamentos[Momento da falha],"&gt;="&amp;$C$7,tbLancamentos[Momento da falha],"&lt;="&amp;$D$7)&gt;$E$7,$E$7,SUMIFS(tbLancamentos[Tempo indisponível],tbLancamentos[Equipamento],$C121,tbLancamentos[Momento da falha],"&gt;="&amp;$C$7,tbLancamentos[Momento da falha],"&lt;="&amp;$D$7)),""))</f>
        <v/>
      </c>
      <c r="E121" s="97" t="str">
        <f>IF(C121="","",IFERROR(SUMIFS(tbLancamentos[Meta tempo reparo],tbLancamentos[Equipamento],$C121,tbLancamentos[Momento da falha],"&gt;="&amp;$C$7,tbLancamentos[Momento da falha],"&lt;="&amp;$D$7),""))</f>
        <v/>
      </c>
      <c r="F121" s="97" t="str">
        <f>IF(C121="","",IFERROR(SUMIFS(tbLancamentos[Tempo devido],tbLancamentos[Equipamento],$C121,tbLancamentos[Momento da falha],"&gt;="&amp;$C$7,tbLancamentos[Momento da falha],"&lt;="&amp;$D$7),""))</f>
        <v/>
      </c>
      <c r="G12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1" s="127" t="str">
        <f t="shared" si="3"/>
        <v/>
      </c>
    </row>
    <row r="122" spans="2:9" ht="20.100000000000001" customHeight="1" x14ac:dyDescent="0.25">
      <c r="B122" s="94">
        <f>CadEqu!B118</f>
        <v>112</v>
      </c>
      <c r="C122" s="94" t="str">
        <f>IF(CadEqu!F118="","",CadEqu!F118)</f>
        <v/>
      </c>
      <c r="D122" s="97" t="str">
        <f>IF(C122="","",IFERROR(IF(SUMIFS(tbLancamentos[Tempo indisponível],tbLancamentos[Equipamento],$C122,tbLancamentos[Momento da falha],"&gt;="&amp;$C$7,tbLancamentos[Momento da falha],"&lt;="&amp;$D$7)&gt;$E$7,$E$7,SUMIFS(tbLancamentos[Tempo indisponível],tbLancamentos[Equipamento],$C122,tbLancamentos[Momento da falha],"&gt;="&amp;$C$7,tbLancamentos[Momento da falha],"&lt;="&amp;$D$7)),""))</f>
        <v/>
      </c>
      <c r="E122" s="97" t="str">
        <f>IF(C122="","",IFERROR(SUMIFS(tbLancamentos[Meta tempo reparo],tbLancamentos[Equipamento],$C122,tbLancamentos[Momento da falha],"&gt;="&amp;$C$7,tbLancamentos[Momento da falha],"&lt;="&amp;$D$7),""))</f>
        <v/>
      </c>
      <c r="F122" s="97" t="str">
        <f>IF(C122="","",IFERROR(SUMIFS(tbLancamentos[Tempo devido],tbLancamentos[Equipamento],$C122,tbLancamentos[Momento da falha],"&gt;="&amp;$C$7,tbLancamentos[Momento da falha],"&lt;="&amp;$D$7),""))</f>
        <v/>
      </c>
      <c r="G12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2" s="127" t="str">
        <f t="shared" si="3"/>
        <v/>
      </c>
    </row>
    <row r="123" spans="2:9" ht="20.100000000000001" customHeight="1" x14ac:dyDescent="0.25">
      <c r="B123" s="94">
        <f>CadEqu!B119</f>
        <v>113</v>
      </c>
      <c r="C123" s="94" t="str">
        <f>IF(CadEqu!F119="","",CadEqu!F119)</f>
        <v/>
      </c>
      <c r="D123" s="97" t="str">
        <f>IF(C123="","",IFERROR(IF(SUMIFS(tbLancamentos[Tempo indisponível],tbLancamentos[Equipamento],$C123,tbLancamentos[Momento da falha],"&gt;="&amp;$C$7,tbLancamentos[Momento da falha],"&lt;="&amp;$D$7)&gt;$E$7,$E$7,SUMIFS(tbLancamentos[Tempo indisponível],tbLancamentos[Equipamento],$C123,tbLancamentos[Momento da falha],"&gt;="&amp;$C$7,tbLancamentos[Momento da falha],"&lt;="&amp;$D$7)),""))</f>
        <v/>
      </c>
      <c r="E123" s="97" t="str">
        <f>IF(C123="","",IFERROR(SUMIFS(tbLancamentos[Meta tempo reparo],tbLancamentos[Equipamento],$C123,tbLancamentos[Momento da falha],"&gt;="&amp;$C$7,tbLancamentos[Momento da falha],"&lt;="&amp;$D$7),""))</f>
        <v/>
      </c>
      <c r="F123" s="97" t="str">
        <f>IF(C123="","",IFERROR(SUMIFS(tbLancamentos[Tempo devido],tbLancamentos[Equipamento],$C123,tbLancamentos[Momento da falha],"&gt;="&amp;$C$7,tbLancamentos[Momento da falha],"&lt;="&amp;$D$7),""))</f>
        <v/>
      </c>
      <c r="G12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3" s="127" t="str">
        <f t="shared" si="3"/>
        <v/>
      </c>
    </row>
    <row r="124" spans="2:9" ht="20.100000000000001" customHeight="1" x14ac:dyDescent="0.25">
      <c r="B124" s="94">
        <f>CadEqu!B120</f>
        <v>114</v>
      </c>
      <c r="C124" s="94" t="str">
        <f>IF(CadEqu!F120="","",CadEqu!F120)</f>
        <v/>
      </c>
      <c r="D124" s="97" t="str">
        <f>IF(C124="","",IFERROR(IF(SUMIFS(tbLancamentos[Tempo indisponível],tbLancamentos[Equipamento],$C124,tbLancamentos[Momento da falha],"&gt;="&amp;$C$7,tbLancamentos[Momento da falha],"&lt;="&amp;$D$7)&gt;$E$7,$E$7,SUMIFS(tbLancamentos[Tempo indisponível],tbLancamentos[Equipamento],$C124,tbLancamentos[Momento da falha],"&gt;="&amp;$C$7,tbLancamentos[Momento da falha],"&lt;="&amp;$D$7)),""))</f>
        <v/>
      </c>
      <c r="E124" s="97" t="str">
        <f>IF(C124="","",IFERROR(SUMIFS(tbLancamentos[Meta tempo reparo],tbLancamentos[Equipamento],$C124,tbLancamentos[Momento da falha],"&gt;="&amp;$C$7,tbLancamentos[Momento da falha],"&lt;="&amp;$D$7),""))</f>
        <v/>
      </c>
      <c r="F124" s="97" t="str">
        <f>IF(C124="","",IFERROR(SUMIFS(tbLancamentos[Tempo devido],tbLancamentos[Equipamento],$C124,tbLancamentos[Momento da falha],"&gt;="&amp;$C$7,tbLancamentos[Momento da falha],"&lt;="&amp;$D$7),""))</f>
        <v/>
      </c>
      <c r="G12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4" s="127" t="str">
        <f t="shared" si="3"/>
        <v/>
      </c>
    </row>
    <row r="125" spans="2:9" ht="20.100000000000001" customHeight="1" x14ac:dyDescent="0.25">
      <c r="B125" s="94">
        <f>CadEqu!B121</f>
        <v>115</v>
      </c>
      <c r="C125" s="94" t="str">
        <f>IF(CadEqu!F121="","",CadEqu!F121)</f>
        <v/>
      </c>
      <c r="D125" s="97" t="str">
        <f>IF(C125="","",IFERROR(IF(SUMIFS(tbLancamentos[Tempo indisponível],tbLancamentos[Equipamento],$C125,tbLancamentos[Momento da falha],"&gt;="&amp;$C$7,tbLancamentos[Momento da falha],"&lt;="&amp;$D$7)&gt;$E$7,$E$7,SUMIFS(tbLancamentos[Tempo indisponível],tbLancamentos[Equipamento],$C125,tbLancamentos[Momento da falha],"&gt;="&amp;$C$7,tbLancamentos[Momento da falha],"&lt;="&amp;$D$7)),""))</f>
        <v/>
      </c>
      <c r="E125" s="97" t="str">
        <f>IF(C125="","",IFERROR(SUMIFS(tbLancamentos[Meta tempo reparo],tbLancamentos[Equipamento],$C125,tbLancamentos[Momento da falha],"&gt;="&amp;$C$7,tbLancamentos[Momento da falha],"&lt;="&amp;$D$7),""))</f>
        <v/>
      </c>
      <c r="F125" s="97" t="str">
        <f>IF(C125="","",IFERROR(SUMIFS(tbLancamentos[Tempo devido],tbLancamentos[Equipamento],$C125,tbLancamentos[Momento da falha],"&gt;="&amp;$C$7,tbLancamentos[Momento da falha],"&lt;="&amp;$D$7),""))</f>
        <v/>
      </c>
      <c r="G12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5" s="127" t="str">
        <f t="shared" si="3"/>
        <v/>
      </c>
    </row>
    <row r="126" spans="2:9" ht="20.100000000000001" customHeight="1" x14ac:dyDescent="0.25">
      <c r="B126" s="94">
        <f>CadEqu!B122</f>
        <v>116</v>
      </c>
      <c r="C126" s="94" t="str">
        <f>IF(CadEqu!F122="","",CadEqu!F122)</f>
        <v/>
      </c>
      <c r="D126" s="97" t="str">
        <f>IF(C126="","",IFERROR(IF(SUMIFS(tbLancamentos[Tempo indisponível],tbLancamentos[Equipamento],$C126,tbLancamentos[Momento da falha],"&gt;="&amp;$C$7,tbLancamentos[Momento da falha],"&lt;="&amp;$D$7)&gt;$E$7,$E$7,SUMIFS(tbLancamentos[Tempo indisponível],tbLancamentos[Equipamento],$C126,tbLancamentos[Momento da falha],"&gt;="&amp;$C$7,tbLancamentos[Momento da falha],"&lt;="&amp;$D$7)),""))</f>
        <v/>
      </c>
      <c r="E126" s="97" t="str">
        <f>IF(C126="","",IFERROR(SUMIFS(tbLancamentos[Meta tempo reparo],tbLancamentos[Equipamento],$C126,tbLancamentos[Momento da falha],"&gt;="&amp;$C$7,tbLancamentos[Momento da falha],"&lt;="&amp;$D$7),""))</f>
        <v/>
      </c>
      <c r="F126" s="97" t="str">
        <f>IF(C126="","",IFERROR(SUMIFS(tbLancamentos[Tempo devido],tbLancamentos[Equipamento],$C126,tbLancamentos[Momento da falha],"&gt;="&amp;$C$7,tbLancamentos[Momento da falha],"&lt;="&amp;$D$7),""))</f>
        <v/>
      </c>
      <c r="G12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6" s="127" t="str">
        <f t="shared" si="3"/>
        <v/>
      </c>
    </row>
    <row r="127" spans="2:9" ht="20.100000000000001" customHeight="1" x14ac:dyDescent="0.25">
      <c r="B127" s="94">
        <f>CadEqu!B123</f>
        <v>117</v>
      </c>
      <c r="C127" s="94" t="str">
        <f>IF(CadEqu!F123="","",CadEqu!F123)</f>
        <v/>
      </c>
      <c r="D127" s="97" t="str">
        <f>IF(C127="","",IFERROR(IF(SUMIFS(tbLancamentos[Tempo indisponível],tbLancamentos[Equipamento],$C127,tbLancamentos[Momento da falha],"&gt;="&amp;$C$7,tbLancamentos[Momento da falha],"&lt;="&amp;$D$7)&gt;$E$7,$E$7,SUMIFS(tbLancamentos[Tempo indisponível],tbLancamentos[Equipamento],$C127,tbLancamentos[Momento da falha],"&gt;="&amp;$C$7,tbLancamentos[Momento da falha],"&lt;="&amp;$D$7)),""))</f>
        <v/>
      </c>
      <c r="E127" s="97" t="str">
        <f>IF(C127="","",IFERROR(SUMIFS(tbLancamentos[Meta tempo reparo],tbLancamentos[Equipamento],$C127,tbLancamentos[Momento da falha],"&gt;="&amp;$C$7,tbLancamentos[Momento da falha],"&lt;="&amp;$D$7),""))</f>
        <v/>
      </c>
      <c r="F127" s="97" t="str">
        <f>IF(C127="","",IFERROR(SUMIFS(tbLancamentos[Tempo devido],tbLancamentos[Equipamento],$C127,tbLancamentos[Momento da falha],"&gt;="&amp;$C$7,tbLancamentos[Momento da falha],"&lt;="&amp;$D$7),""))</f>
        <v/>
      </c>
      <c r="G12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7" s="127" t="str">
        <f t="shared" si="3"/>
        <v/>
      </c>
    </row>
    <row r="128" spans="2:9" ht="20.100000000000001" customHeight="1" x14ac:dyDescent="0.25">
      <c r="B128" s="94">
        <f>CadEqu!B124</f>
        <v>118</v>
      </c>
      <c r="C128" s="94" t="str">
        <f>IF(CadEqu!F124="","",CadEqu!F124)</f>
        <v/>
      </c>
      <c r="D128" s="97" t="str">
        <f>IF(C128="","",IFERROR(IF(SUMIFS(tbLancamentos[Tempo indisponível],tbLancamentos[Equipamento],$C128,tbLancamentos[Momento da falha],"&gt;="&amp;$C$7,tbLancamentos[Momento da falha],"&lt;="&amp;$D$7)&gt;$E$7,$E$7,SUMIFS(tbLancamentos[Tempo indisponível],tbLancamentos[Equipamento],$C128,tbLancamentos[Momento da falha],"&gt;="&amp;$C$7,tbLancamentos[Momento da falha],"&lt;="&amp;$D$7)),""))</f>
        <v/>
      </c>
      <c r="E128" s="97" t="str">
        <f>IF(C128="","",IFERROR(SUMIFS(tbLancamentos[Meta tempo reparo],tbLancamentos[Equipamento],$C128,tbLancamentos[Momento da falha],"&gt;="&amp;$C$7,tbLancamentos[Momento da falha],"&lt;="&amp;$D$7),""))</f>
        <v/>
      </c>
      <c r="F128" s="97" t="str">
        <f>IF(C128="","",IFERROR(SUMIFS(tbLancamentos[Tempo devido],tbLancamentos[Equipamento],$C128,tbLancamentos[Momento da falha],"&gt;="&amp;$C$7,tbLancamentos[Momento da falha],"&lt;="&amp;$D$7),""))</f>
        <v/>
      </c>
      <c r="G12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8" s="127" t="str">
        <f t="shared" si="3"/>
        <v/>
      </c>
    </row>
    <row r="129" spans="2:9" ht="20.100000000000001" customHeight="1" x14ac:dyDescent="0.25">
      <c r="B129" s="94">
        <f>CadEqu!B125</f>
        <v>119</v>
      </c>
      <c r="C129" s="94" t="str">
        <f>IF(CadEqu!F125="","",CadEqu!F125)</f>
        <v/>
      </c>
      <c r="D129" s="97" t="str">
        <f>IF(C129="","",IFERROR(IF(SUMIFS(tbLancamentos[Tempo indisponível],tbLancamentos[Equipamento],$C129,tbLancamentos[Momento da falha],"&gt;="&amp;$C$7,tbLancamentos[Momento da falha],"&lt;="&amp;$D$7)&gt;$E$7,$E$7,SUMIFS(tbLancamentos[Tempo indisponível],tbLancamentos[Equipamento],$C129,tbLancamentos[Momento da falha],"&gt;="&amp;$C$7,tbLancamentos[Momento da falha],"&lt;="&amp;$D$7)),""))</f>
        <v/>
      </c>
      <c r="E129" s="97" t="str">
        <f>IF(C129="","",IFERROR(SUMIFS(tbLancamentos[Meta tempo reparo],tbLancamentos[Equipamento],$C129,tbLancamentos[Momento da falha],"&gt;="&amp;$C$7,tbLancamentos[Momento da falha],"&lt;="&amp;$D$7),""))</f>
        <v/>
      </c>
      <c r="F129" s="97" t="str">
        <f>IF(C129="","",IFERROR(SUMIFS(tbLancamentos[Tempo devido],tbLancamentos[Equipamento],$C129,tbLancamentos[Momento da falha],"&gt;="&amp;$C$7,tbLancamentos[Momento da falha],"&lt;="&amp;$D$7),""))</f>
        <v/>
      </c>
      <c r="G12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2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29" s="127" t="str">
        <f t="shared" si="3"/>
        <v/>
      </c>
    </row>
    <row r="130" spans="2:9" ht="20.100000000000001" customHeight="1" x14ac:dyDescent="0.25">
      <c r="B130" s="94">
        <f>CadEqu!B126</f>
        <v>120</v>
      </c>
      <c r="C130" s="94" t="str">
        <f>IF(CadEqu!F126="","",CadEqu!F126)</f>
        <v/>
      </c>
      <c r="D130" s="97" t="str">
        <f>IF(C130="","",IFERROR(IF(SUMIFS(tbLancamentos[Tempo indisponível],tbLancamentos[Equipamento],$C130,tbLancamentos[Momento da falha],"&gt;="&amp;$C$7,tbLancamentos[Momento da falha],"&lt;="&amp;$D$7)&gt;$E$7,$E$7,SUMIFS(tbLancamentos[Tempo indisponível],tbLancamentos[Equipamento],$C130,tbLancamentos[Momento da falha],"&gt;="&amp;$C$7,tbLancamentos[Momento da falha],"&lt;="&amp;$D$7)),""))</f>
        <v/>
      </c>
      <c r="E130" s="97" t="str">
        <f>IF(C130="","",IFERROR(SUMIFS(tbLancamentos[Meta tempo reparo],tbLancamentos[Equipamento],$C130,tbLancamentos[Momento da falha],"&gt;="&amp;$C$7,tbLancamentos[Momento da falha],"&lt;="&amp;$D$7),""))</f>
        <v/>
      </c>
      <c r="F130" s="97" t="str">
        <f>IF(C130="","",IFERROR(SUMIFS(tbLancamentos[Tempo devido],tbLancamentos[Equipamento],$C130,tbLancamentos[Momento da falha],"&gt;="&amp;$C$7,tbLancamentos[Momento da falha],"&lt;="&amp;$D$7),""))</f>
        <v/>
      </c>
      <c r="G13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0" s="127" t="str">
        <f t="shared" si="3"/>
        <v/>
      </c>
    </row>
    <row r="131" spans="2:9" ht="20.100000000000001" customHeight="1" x14ac:dyDescent="0.25">
      <c r="B131" s="94">
        <f>CadEqu!B127</f>
        <v>121</v>
      </c>
      <c r="C131" s="94" t="str">
        <f>IF(CadEqu!F127="","",CadEqu!F127)</f>
        <v/>
      </c>
      <c r="D131" s="97" t="str">
        <f>IF(C131="","",IFERROR(IF(SUMIFS(tbLancamentos[Tempo indisponível],tbLancamentos[Equipamento],$C131,tbLancamentos[Momento da falha],"&gt;="&amp;$C$7,tbLancamentos[Momento da falha],"&lt;="&amp;$D$7)&gt;$E$7,$E$7,SUMIFS(tbLancamentos[Tempo indisponível],tbLancamentos[Equipamento],$C131,tbLancamentos[Momento da falha],"&gt;="&amp;$C$7,tbLancamentos[Momento da falha],"&lt;="&amp;$D$7)),""))</f>
        <v/>
      </c>
      <c r="E131" s="97" t="str">
        <f>IF(C131="","",IFERROR(SUMIFS(tbLancamentos[Meta tempo reparo],tbLancamentos[Equipamento],$C131,tbLancamentos[Momento da falha],"&gt;="&amp;$C$7,tbLancamentos[Momento da falha],"&lt;="&amp;$D$7),""))</f>
        <v/>
      </c>
      <c r="F131" s="97" t="str">
        <f>IF(C131="","",IFERROR(SUMIFS(tbLancamentos[Tempo devido],tbLancamentos[Equipamento],$C131,tbLancamentos[Momento da falha],"&gt;="&amp;$C$7,tbLancamentos[Momento da falha],"&lt;="&amp;$D$7),""))</f>
        <v/>
      </c>
      <c r="G13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1" s="127" t="str">
        <f t="shared" si="3"/>
        <v/>
      </c>
    </row>
    <row r="132" spans="2:9" ht="20.100000000000001" customHeight="1" x14ac:dyDescent="0.25">
      <c r="B132" s="94">
        <f>CadEqu!B128</f>
        <v>122</v>
      </c>
      <c r="C132" s="94" t="str">
        <f>IF(CadEqu!F128="","",CadEqu!F128)</f>
        <v/>
      </c>
      <c r="D132" s="97" t="str">
        <f>IF(C132="","",IFERROR(IF(SUMIFS(tbLancamentos[Tempo indisponível],tbLancamentos[Equipamento],$C132,tbLancamentos[Momento da falha],"&gt;="&amp;$C$7,tbLancamentos[Momento da falha],"&lt;="&amp;$D$7)&gt;$E$7,$E$7,SUMIFS(tbLancamentos[Tempo indisponível],tbLancamentos[Equipamento],$C132,tbLancamentos[Momento da falha],"&gt;="&amp;$C$7,tbLancamentos[Momento da falha],"&lt;="&amp;$D$7)),""))</f>
        <v/>
      </c>
      <c r="E132" s="97" t="str">
        <f>IF(C132="","",IFERROR(SUMIFS(tbLancamentos[Meta tempo reparo],tbLancamentos[Equipamento],$C132,tbLancamentos[Momento da falha],"&gt;="&amp;$C$7,tbLancamentos[Momento da falha],"&lt;="&amp;$D$7),""))</f>
        <v/>
      </c>
      <c r="F132" s="97" t="str">
        <f>IF(C132="","",IFERROR(SUMIFS(tbLancamentos[Tempo devido],tbLancamentos[Equipamento],$C132,tbLancamentos[Momento da falha],"&gt;="&amp;$C$7,tbLancamentos[Momento da falha],"&lt;="&amp;$D$7),""))</f>
        <v/>
      </c>
      <c r="G13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2" s="127" t="str">
        <f t="shared" si="3"/>
        <v/>
      </c>
    </row>
    <row r="133" spans="2:9" ht="20.100000000000001" customHeight="1" x14ac:dyDescent="0.25">
      <c r="B133" s="94">
        <f>CadEqu!B129</f>
        <v>123</v>
      </c>
      <c r="C133" s="94" t="str">
        <f>IF(CadEqu!F129="","",CadEqu!F129)</f>
        <v/>
      </c>
      <c r="D133" s="97" t="str">
        <f>IF(C133="","",IFERROR(IF(SUMIFS(tbLancamentos[Tempo indisponível],tbLancamentos[Equipamento],$C133,tbLancamentos[Momento da falha],"&gt;="&amp;$C$7,tbLancamentos[Momento da falha],"&lt;="&amp;$D$7)&gt;$E$7,$E$7,SUMIFS(tbLancamentos[Tempo indisponível],tbLancamentos[Equipamento],$C133,tbLancamentos[Momento da falha],"&gt;="&amp;$C$7,tbLancamentos[Momento da falha],"&lt;="&amp;$D$7)),""))</f>
        <v/>
      </c>
      <c r="E133" s="97" t="str">
        <f>IF(C133="","",IFERROR(SUMIFS(tbLancamentos[Meta tempo reparo],tbLancamentos[Equipamento],$C133,tbLancamentos[Momento da falha],"&gt;="&amp;$C$7,tbLancamentos[Momento da falha],"&lt;="&amp;$D$7),""))</f>
        <v/>
      </c>
      <c r="F133" s="97" t="str">
        <f>IF(C133="","",IFERROR(SUMIFS(tbLancamentos[Tempo devido],tbLancamentos[Equipamento],$C133,tbLancamentos[Momento da falha],"&gt;="&amp;$C$7,tbLancamentos[Momento da falha],"&lt;="&amp;$D$7),""))</f>
        <v/>
      </c>
      <c r="G13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3" s="127" t="str">
        <f t="shared" si="3"/>
        <v/>
      </c>
    </row>
    <row r="134" spans="2:9" ht="20.100000000000001" customHeight="1" x14ac:dyDescent="0.25">
      <c r="B134" s="94">
        <f>CadEqu!B130</f>
        <v>124</v>
      </c>
      <c r="C134" s="94" t="str">
        <f>IF(CadEqu!F130="","",CadEqu!F130)</f>
        <v/>
      </c>
      <c r="D134" s="97" t="str">
        <f>IF(C134="","",IFERROR(IF(SUMIFS(tbLancamentos[Tempo indisponível],tbLancamentos[Equipamento],$C134,tbLancamentos[Momento da falha],"&gt;="&amp;$C$7,tbLancamentos[Momento da falha],"&lt;="&amp;$D$7)&gt;$E$7,$E$7,SUMIFS(tbLancamentos[Tempo indisponível],tbLancamentos[Equipamento],$C134,tbLancamentos[Momento da falha],"&gt;="&amp;$C$7,tbLancamentos[Momento da falha],"&lt;="&amp;$D$7)),""))</f>
        <v/>
      </c>
      <c r="E134" s="97" t="str">
        <f>IF(C134="","",IFERROR(SUMIFS(tbLancamentos[Meta tempo reparo],tbLancamentos[Equipamento],$C134,tbLancamentos[Momento da falha],"&gt;="&amp;$C$7,tbLancamentos[Momento da falha],"&lt;="&amp;$D$7),""))</f>
        <v/>
      </c>
      <c r="F134" s="97" t="str">
        <f>IF(C134="","",IFERROR(SUMIFS(tbLancamentos[Tempo devido],tbLancamentos[Equipamento],$C134,tbLancamentos[Momento da falha],"&gt;="&amp;$C$7,tbLancamentos[Momento da falha],"&lt;="&amp;$D$7),""))</f>
        <v/>
      </c>
      <c r="G13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4" s="127" t="str">
        <f t="shared" si="3"/>
        <v/>
      </c>
    </row>
    <row r="135" spans="2:9" ht="20.100000000000001" customHeight="1" x14ac:dyDescent="0.25">
      <c r="B135" s="94">
        <f>CadEqu!B131</f>
        <v>125</v>
      </c>
      <c r="C135" s="94" t="str">
        <f>IF(CadEqu!F131="","",CadEqu!F131)</f>
        <v/>
      </c>
      <c r="D135" s="97" t="str">
        <f>IF(C135="","",IFERROR(IF(SUMIFS(tbLancamentos[Tempo indisponível],tbLancamentos[Equipamento],$C135,tbLancamentos[Momento da falha],"&gt;="&amp;$C$7,tbLancamentos[Momento da falha],"&lt;="&amp;$D$7)&gt;$E$7,$E$7,SUMIFS(tbLancamentos[Tempo indisponível],tbLancamentos[Equipamento],$C135,tbLancamentos[Momento da falha],"&gt;="&amp;$C$7,tbLancamentos[Momento da falha],"&lt;="&amp;$D$7)),""))</f>
        <v/>
      </c>
      <c r="E135" s="97" t="str">
        <f>IF(C135="","",IFERROR(SUMIFS(tbLancamentos[Meta tempo reparo],tbLancamentos[Equipamento],$C135,tbLancamentos[Momento da falha],"&gt;="&amp;$C$7,tbLancamentos[Momento da falha],"&lt;="&amp;$D$7),""))</f>
        <v/>
      </c>
      <c r="F135" s="97" t="str">
        <f>IF(C135="","",IFERROR(SUMIFS(tbLancamentos[Tempo devido],tbLancamentos[Equipamento],$C135,tbLancamentos[Momento da falha],"&gt;="&amp;$C$7,tbLancamentos[Momento da falha],"&lt;="&amp;$D$7),""))</f>
        <v/>
      </c>
      <c r="G13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5" s="127" t="str">
        <f t="shared" si="3"/>
        <v/>
      </c>
    </row>
    <row r="136" spans="2:9" ht="20.100000000000001" customHeight="1" x14ac:dyDescent="0.25">
      <c r="B136" s="94">
        <f>CadEqu!B132</f>
        <v>126</v>
      </c>
      <c r="C136" s="94" t="str">
        <f>IF(CadEqu!F132="","",CadEqu!F132)</f>
        <v/>
      </c>
      <c r="D136" s="97" t="str">
        <f>IF(C136="","",IFERROR(IF(SUMIFS(tbLancamentos[Tempo indisponível],tbLancamentos[Equipamento],$C136,tbLancamentos[Momento da falha],"&gt;="&amp;$C$7,tbLancamentos[Momento da falha],"&lt;="&amp;$D$7)&gt;$E$7,$E$7,SUMIFS(tbLancamentos[Tempo indisponível],tbLancamentos[Equipamento],$C136,tbLancamentos[Momento da falha],"&gt;="&amp;$C$7,tbLancamentos[Momento da falha],"&lt;="&amp;$D$7)),""))</f>
        <v/>
      </c>
      <c r="E136" s="97" t="str">
        <f>IF(C136="","",IFERROR(SUMIFS(tbLancamentos[Meta tempo reparo],tbLancamentos[Equipamento],$C136,tbLancamentos[Momento da falha],"&gt;="&amp;$C$7,tbLancamentos[Momento da falha],"&lt;="&amp;$D$7),""))</f>
        <v/>
      </c>
      <c r="F136" s="97" t="str">
        <f>IF(C136="","",IFERROR(SUMIFS(tbLancamentos[Tempo devido],tbLancamentos[Equipamento],$C136,tbLancamentos[Momento da falha],"&gt;="&amp;$C$7,tbLancamentos[Momento da falha],"&lt;="&amp;$D$7),""))</f>
        <v/>
      </c>
      <c r="G13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6" s="127" t="str">
        <f t="shared" si="3"/>
        <v/>
      </c>
    </row>
    <row r="137" spans="2:9" ht="20.100000000000001" customHeight="1" x14ac:dyDescent="0.25">
      <c r="B137" s="94">
        <f>CadEqu!B133</f>
        <v>127</v>
      </c>
      <c r="C137" s="94" t="str">
        <f>IF(CadEqu!F133="","",CadEqu!F133)</f>
        <v/>
      </c>
      <c r="D137" s="97" t="str">
        <f>IF(C137="","",IFERROR(IF(SUMIFS(tbLancamentos[Tempo indisponível],tbLancamentos[Equipamento],$C137,tbLancamentos[Momento da falha],"&gt;="&amp;$C$7,tbLancamentos[Momento da falha],"&lt;="&amp;$D$7)&gt;$E$7,$E$7,SUMIFS(tbLancamentos[Tempo indisponível],tbLancamentos[Equipamento],$C137,tbLancamentos[Momento da falha],"&gt;="&amp;$C$7,tbLancamentos[Momento da falha],"&lt;="&amp;$D$7)),""))</f>
        <v/>
      </c>
      <c r="E137" s="97" t="str">
        <f>IF(C137="","",IFERROR(SUMIFS(tbLancamentos[Meta tempo reparo],tbLancamentos[Equipamento],$C137,tbLancamentos[Momento da falha],"&gt;="&amp;$C$7,tbLancamentos[Momento da falha],"&lt;="&amp;$D$7),""))</f>
        <v/>
      </c>
      <c r="F137" s="97" t="str">
        <f>IF(C137="","",IFERROR(SUMIFS(tbLancamentos[Tempo devido],tbLancamentos[Equipamento],$C137,tbLancamentos[Momento da falha],"&gt;="&amp;$C$7,tbLancamentos[Momento da falha],"&lt;="&amp;$D$7),""))</f>
        <v/>
      </c>
      <c r="G13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7" s="127" t="str">
        <f t="shared" si="3"/>
        <v/>
      </c>
    </row>
    <row r="138" spans="2:9" ht="20.100000000000001" customHeight="1" x14ac:dyDescent="0.25">
      <c r="B138" s="94">
        <f>CadEqu!B134</f>
        <v>128</v>
      </c>
      <c r="C138" s="94" t="str">
        <f>IF(CadEqu!F134="","",CadEqu!F134)</f>
        <v/>
      </c>
      <c r="D138" s="97" t="str">
        <f>IF(C138="","",IFERROR(IF(SUMIFS(tbLancamentos[Tempo indisponível],tbLancamentos[Equipamento],$C138,tbLancamentos[Momento da falha],"&gt;="&amp;$C$7,tbLancamentos[Momento da falha],"&lt;="&amp;$D$7)&gt;$E$7,$E$7,SUMIFS(tbLancamentos[Tempo indisponível],tbLancamentos[Equipamento],$C138,tbLancamentos[Momento da falha],"&gt;="&amp;$C$7,tbLancamentos[Momento da falha],"&lt;="&amp;$D$7)),""))</f>
        <v/>
      </c>
      <c r="E138" s="97" t="str">
        <f>IF(C138="","",IFERROR(SUMIFS(tbLancamentos[Meta tempo reparo],tbLancamentos[Equipamento],$C138,tbLancamentos[Momento da falha],"&gt;="&amp;$C$7,tbLancamentos[Momento da falha],"&lt;="&amp;$D$7),""))</f>
        <v/>
      </c>
      <c r="F138" s="97" t="str">
        <f>IF(C138="","",IFERROR(SUMIFS(tbLancamentos[Tempo devido],tbLancamentos[Equipamento],$C138,tbLancamentos[Momento da falha],"&gt;="&amp;$C$7,tbLancamentos[Momento da falha],"&lt;="&amp;$D$7),""))</f>
        <v/>
      </c>
      <c r="G13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8" s="127" t="str">
        <f t="shared" si="3"/>
        <v/>
      </c>
    </row>
    <row r="139" spans="2:9" ht="20.100000000000001" customHeight="1" x14ac:dyDescent="0.25">
      <c r="B139" s="94">
        <f>CadEqu!B135</f>
        <v>129</v>
      </c>
      <c r="C139" s="94" t="str">
        <f>IF(CadEqu!F135="","",CadEqu!F135)</f>
        <v/>
      </c>
      <c r="D139" s="97" t="str">
        <f>IF(C139="","",IFERROR(IF(SUMIFS(tbLancamentos[Tempo indisponível],tbLancamentos[Equipamento],$C139,tbLancamentos[Momento da falha],"&gt;="&amp;$C$7,tbLancamentos[Momento da falha],"&lt;="&amp;$D$7)&gt;$E$7,$E$7,SUMIFS(tbLancamentos[Tempo indisponível],tbLancamentos[Equipamento],$C139,tbLancamentos[Momento da falha],"&gt;="&amp;$C$7,tbLancamentos[Momento da falha],"&lt;="&amp;$D$7)),""))</f>
        <v/>
      </c>
      <c r="E139" s="97" t="str">
        <f>IF(C139="","",IFERROR(SUMIFS(tbLancamentos[Meta tempo reparo],tbLancamentos[Equipamento],$C139,tbLancamentos[Momento da falha],"&gt;="&amp;$C$7,tbLancamentos[Momento da falha],"&lt;="&amp;$D$7),""))</f>
        <v/>
      </c>
      <c r="F139" s="97" t="str">
        <f>IF(C139="","",IFERROR(SUMIFS(tbLancamentos[Tempo devido],tbLancamentos[Equipamento],$C139,tbLancamentos[Momento da falha],"&gt;="&amp;$C$7,tbLancamentos[Momento da falha],"&lt;="&amp;$D$7),""))</f>
        <v/>
      </c>
      <c r="G13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3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39" s="127" t="str">
        <f t="shared" ref="I139:I202" si="4">IF(C139="","",($E$7-(D139-E139))/$E$7)</f>
        <v/>
      </c>
    </row>
    <row r="140" spans="2:9" ht="20.100000000000001" customHeight="1" x14ac:dyDescent="0.25">
      <c r="B140" s="94">
        <f>CadEqu!B136</f>
        <v>130</v>
      </c>
      <c r="C140" s="94" t="str">
        <f>IF(CadEqu!F136="","",CadEqu!F136)</f>
        <v/>
      </c>
      <c r="D140" s="97" t="str">
        <f>IF(C140="","",IFERROR(IF(SUMIFS(tbLancamentos[Tempo indisponível],tbLancamentos[Equipamento],$C140,tbLancamentos[Momento da falha],"&gt;="&amp;$C$7,tbLancamentos[Momento da falha],"&lt;="&amp;$D$7)&gt;$E$7,$E$7,SUMIFS(tbLancamentos[Tempo indisponível],tbLancamentos[Equipamento],$C140,tbLancamentos[Momento da falha],"&gt;="&amp;$C$7,tbLancamentos[Momento da falha],"&lt;="&amp;$D$7)),""))</f>
        <v/>
      </c>
      <c r="E140" s="97" t="str">
        <f>IF(C140="","",IFERROR(SUMIFS(tbLancamentos[Meta tempo reparo],tbLancamentos[Equipamento],$C140,tbLancamentos[Momento da falha],"&gt;="&amp;$C$7,tbLancamentos[Momento da falha],"&lt;="&amp;$D$7),""))</f>
        <v/>
      </c>
      <c r="F140" s="97" t="str">
        <f>IF(C140="","",IFERROR(SUMIFS(tbLancamentos[Tempo devido],tbLancamentos[Equipamento],$C140,tbLancamentos[Momento da falha],"&gt;="&amp;$C$7,tbLancamentos[Momento da falha],"&lt;="&amp;$D$7),""))</f>
        <v/>
      </c>
      <c r="G14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0" s="127" t="str">
        <f t="shared" si="4"/>
        <v/>
      </c>
    </row>
    <row r="141" spans="2:9" ht="20.100000000000001" customHeight="1" x14ac:dyDescent="0.25">
      <c r="B141" s="94">
        <f>CadEqu!B137</f>
        <v>131</v>
      </c>
      <c r="C141" s="94" t="str">
        <f>IF(CadEqu!F137="","",CadEqu!F137)</f>
        <v/>
      </c>
      <c r="D141" s="97" t="str">
        <f>IF(C141="","",IFERROR(IF(SUMIFS(tbLancamentos[Tempo indisponível],tbLancamentos[Equipamento],$C141,tbLancamentos[Momento da falha],"&gt;="&amp;$C$7,tbLancamentos[Momento da falha],"&lt;="&amp;$D$7)&gt;$E$7,$E$7,SUMIFS(tbLancamentos[Tempo indisponível],tbLancamentos[Equipamento],$C141,tbLancamentos[Momento da falha],"&gt;="&amp;$C$7,tbLancamentos[Momento da falha],"&lt;="&amp;$D$7)),""))</f>
        <v/>
      </c>
      <c r="E141" s="97" t="str">
        <f>IF(C141="","",IFERROR(SUMIFS(tbLancamentos[Meta tempo reparo],tbLancamentos[Equipamento],$C141,tbLancamentos[Momento da falha],"&gt;="&amp;$C$7,tbLancamentos[Momento da falha],"&lt;="&amp;$D$7),""))</f>
        <v/>
      </c>
      <c r="F141" s="97" t="str">
        <f>IF(C141="","",IFERROR(SUMIFS(tbLancamentos[Tempo devido],tbLancamentos[Equipamento],$C141,tbLancamentos[Momento da falha],"&gt;="&amp;$C$7,tbLancamentos[Momento da falha],"&lt;="&amp;$D$7),""))</f>
        <v/>
      </c>
      <c r="G14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1" s="127" t="str">
        <f t="shared" si="4"/>
        <v/>
      </c>
    </row>
    <row r="142" spans="2:9" ht="20.100000000000001" customHeight="1" x14ac:dyDescent="0.25">
      <c r="B142" s="94">
        <f>CadEqu!B138</f>
        <v>132</v>
      </c>
      <c r="C142" s="94" t="str">
        <f>IF(CadEqu!F138="","",CadEqu!F138)</f>
        <v/>
      </c>
      <c r="D142" s="97" t="str">
        <f>IF(C142="","",IFERROR(IF(SUMIFS(tbLancamentos[Tempo indisponível],tbLancamentos[Equipamento],$C142,tbLancamentos[Momento da falha],"&gt;="&amp;$C$7,tbLancamentos[Momento da falha],"&lt;="&amp;$D$7)&gt;$E$7,$E$7,SUMIFS(tbLancamentos[Tempo indisponível],tbLancamentos[Equipamento],$C142,tbLancamentos[Momento da falha],"&gt;="&amp;$C$7,tbLancamentos[Momento da falha],"&lt;="&amp;$D$7)),""))</f>
        <v/>
      </c>
      <c r="E142" s="97" t="str">
        <f>IF(C142="","",IFERROR(SUMIFS(tbLancamentos[Meta tempo reparo],tbLancamentos[Equipamento],$C142,tbLancamentos[Momento da falha],"&gt;="&amp;$C$7,tbLancamentos[Momento da falha],"&lt;="&amp;$D$7),""))</f>
        <v/>
      </c>
      <c r="F142" s="97" t="str">
        <f>IF(C142="","",IFERROR(SUMIFS(tbLancamentos[Tempo devido],tbLancamentos[Equipamento],$C142,tbLancamentos[Momento da falha],"&gt;="&amp;$C$7,tbLancamentos[Momento da falha],"&lt;="&amp;$D$7),""))</f>
        <v/>
      </c>
      <c r="G14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2" s="127" t="str">
        <f t="shared" si="4"/>
        <v/>
      </c>
    </row>
    <row r="143" spans="2:9" ht="20.100000000000001" customHeight="1" x14ac:dyDescent="0.25">
      <c r="B143" s="94">
        <f>CadEqu!B139</f>
        <v>133</v>
      </c>
      <c r="C143" s="94" t="str">
        <f>IF(CadEqu!F139="","",CadEqu!F139)</f>
        <v/>
      </c>
      <c r="D143" s="97" t="str">
        <f>IF(C143="","",IFERROR(IF(SUMIFS(tbLancamentos[Tempo indisponível],tbLancamentos[Equipamento],$C143,tbLancamentos[Momento da falha],"&gt;="&amp;$C$7,tbLancamentos[Momento da falha],"&lt;="&amp;$D$7)&gt;$E$7,$E$7,SUMIFS(tbLancamentos[Tempo indisponível],tbLancamentos[Equipamento],$C143,tbLancamentos[Momento da falha],"&gt;="&amp;$C$7,tbLancamentos[Momento da falha],"&lt;="&amp;$D$7)),""))</f>
        <v/>
      </c>
      <c r="E143" s="97" t="str">
        <f>IF(C143="","",IFERROR(SUMIFS(tbLancamentos[Meta tempo reparo],tbLancamentos[Equipamento],$C143,tbLancamentos[Momento da falha],"&gt;="&amp;$C$7,tbLancamentos[Momento da falha],"&lt;="&amp;$D$7),""))</f>
        <v/>
      </c>
      <c r="F143" s="97" t="str">
        <f>IF(C143="","",IFERROR(SUMIFS(tbLancamentos[Tempo devido],tbLancamentos[Equipamento],$C143,tbLancamentos[Momento da falha],"&gt;="&amp;$C$7,tbLancamentos[Momento da falha],"&lt;="&amp;$D$7),""))</f>
        <v/>
      </c>
      <c r="G14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3" s="127" t="str">
        <f t="shared" si="4"/>
        <v/>
      </c>
    </row>
    <row r="144" spans="2:9" ht="20.100000000000001" customHeight="1" x14ac:dyDescent="0.25">
      <c r="B144" s="94">
        <f>CadEqu!B140</f>
        <v>134</v>
      </c>
      <c r="C144" s="94" t="str">
        <f>IF(CadEqu!F140="","",CadEqu!F140)</f>
        <v/>
      </c>
      <c r="D144" s="97" t="str">
        <f>IF(C144="","",IFERROR(IF(SUMIFS(tbLancamentos[Tempo indisponível],tbLancamentos[Equipamento],$C144,tbLancamentos[Momento da falha],"&gt;="&amp;$C$7,tbLancamentos[Momento da falha],"&lt;="&amp;$D$7)&gt;$E$7,$E$7,SUMIFS(tbLancamentos[Tempo indisponível],tbLancamentos[Equipamento],$C144,tbLancamentos[Momento da falha],"&gt;="&amp;$C$7,tbLancamentos[Momento da falha],"&lt;="&amp;$D$7)),""))</f>
        <v/>
      </c>
      <c r="E144" s="97" t="str">
        <f>IF(C144="","",IFERROR(SUMIFS(tbLancamentos[Meta tempo reparo],tbLancamentos[Equipamento],$C144,tbLancamentos[Momento da falha],"&gt;="&amp;$C$7,tbLancamentos[Momento da falha],"&lt;="&amp;$D$7),""))</f>
        <v/>
      </c>
      <c r="F144" s="97" t="str">
        <f>IF(C144="","",IFERROR(SUMIFS(tbLancamentos[Tempo devido],tbLancamentos[Equipamento],$C144,tbLancamentos[Momento da falha],"&gt;="&amp;$C$7,tbLancamentos[Momento da falha],"&lt;="&amp;$D$7),""))</f>
        <v/>
      </c>
      <c r="G14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4" s="127" t="str">
        <f t="shared" si="4"/>
        <v/>
      </c>
    </row>
    <row r="145" spans="2:9" ht="20.100000000000001" customHeight="1" x14ac:dyDescent="0.25">
      <c r="B145" s="94">
        <f>CadEqu!B141</f>
        <v>135</v>
      </c>
      <c r="C145" s="94" t="str">
        <f>IF(CadEqu!F141="","",CadEqu!F141)</f>
        <v/>
      </c>
      <c r="D145" s="97" t="str">
        <f>IF(C145="","",IFERROR(IF(SUMIFS(tbLancamentos[Tempo indisponível],tbLancamentos[Equipamento],$C145,tbLancamentos[Momento da falha],"&gt;="&amp;$C$7,tbLancamentos[Momento da falha],"&lt;="&amp;$D$7)&gt;$E$7,$E$7,SUMIFS(tbLancamentos[Tempo indisponível],tbLancamentos[Equipamento],$C145,tbLancamentos[Momento da falha],"&gt;="&amp;$C$7,tbLancamentos[Momento da falha],"&lt;="&amp;$D$7)),""))</f>
        <v/>
      </c>
      <c r="E145" s="97" t="str">
        <f>IF(C145="","",IFERROR(SUMIFS(tbLancamentos[Meta tempo reparo],tbLancamentos[Equipamento],$C145,tbLancamentos[Momento da falha],"&gt;="&amp;$C$7,tbLancamentos[Momento da falha],"&lt;="&amp;$D$7),""))</f>
        <v/>
      </c>
      <c r="F145" s="97" t="str">
        <f>IF(C145="","",IFERROR(SUMIFS(tbLancamentos[Tempo devido],tbLancamentos[Equipamento],$C145,tbLancamentos[Momento da falha],"&gt;="&amp;$C$7,tbLancamentos[Momento da falha],"&lt;="&amp;$D$7),""))</f>
        <v/>
      </c>
      <c r="G14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5" s="127" t="str">
        <f t="shared" si="4"/>
        <v/>
      </c>
    </row>
    <row r="146" spans="2:9" ht="20.100000000000001" customHeight="1" x14ac:dyDescent="0.25">
      <c r="B146" s="94">
        <f>CadEqu!B142</f>
        <v>136</v>
      </c>
      <c r="C146" s="94" t="str">
        <f>IF(CadEqu!F142="","",CadEqu!F142)</f>
        <v/>
      </c>
      <c r="D146" s="97" t="str">
        <f>IF(C146="","",IFERROR(IF(SUMIFS(tbLancamentos[Tempo indisponível],tbLancamentos[Equipamento],$C146,tbLancamentos[Momento da falha],"&gt;="&amp;$C$7,tbLancamentos[Momento da falha],"&lt;="&amp;$D$7)&gt;$E$7,$E$7,SUMIFS(tbLancamentos[Tempo indisponível],tbLancamentos[Equipamento],$C146,tbLancamentos[Momento da falha],"&gt;="&amp;$C$7,tbLancamentos[Momento da falha],"&lt;="&amp;$D$7)),""))</f>
        <v/>
      </c>
      <c r="E146" s="97" t="str">
        <f>IF(C146="","",IFERROR(SUMIFS(tbLancamentos[Meta tempo reparo],tbLancamentos[Equipamento],$C146,tbLancamentos[Momento da falha],"&gt;="&amp;$C$7,tbLancamentos[Momento da falha],"&lt;="&amp;$D$7),""))</f>
        <v/>
      </c>
      <c r="F146" s="97" t="str">
        <f>IF(C146="","",IFERROR(SUMIFS(tbLancamentos[Tempo devido],tbLancamentos[Equipamento],$C146,tbLancamentos[Momento da falha],"&gt;="&amp;$C$7,tbLancamentos[Momento da falha],"&lt;="&amp;$D$7),""))</f>
        <v/>
      </c>
      <c r="G14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6" s="127" t="str">
        <f t="shared" si="4"/>
        <v/>
      </c>
    </row>
    <row r="147" spans="2:9" ht="20.100000000000001" customHeight="1" x14ac:dyDescent="0.25">
      <c r="B147" s="94">
        <f>CadEqu!B143</f>
        <v>137</v>
      </c>
      <c r="C147" s="94" t="str">
        <f>IF(CadEqu!F143="","",CadEqu!F143)</f>
        <v/>
      </c>
      <c r="D147" s="97" t="str">
        <f>IF(C147="","",IFERROR(IF(SUMIFS(tbLancamentos[Tempo indisponível],tbLancamentos[Equipamento],$C147,tbLancamentos[Momento da falha],"&gt;="&amp;$C$7,tbLancamentos[Momento da falha],"&lt;="&amp;$D$7)&gt;$E$7,$E$7,SUMIFS(tbLancamentos[Tempo indisponível],tbLancamentos[Equipamento],$C147,tbLancamentos[Momento da falha],"&gt;="&amp;$C$7,tbLancamentos[Momento da falha],"&lt;="&amp;$D$7)),""))</f>
        <v/>
      </c>
      <c r="E147" s="97" t="str">
        <f>IF(C147="","",IFERROR(SUMIFS(tbLancamentos[Meta tempo reparo],tbLancamentos[Equipamento],$C147,tbLancamentos[Momento da falha],"&gt;="&amp;$C$7,tbLancamentos[Momento da falha],"&lt;="&amp;$D$7),""))</f>
        <v/>
      </c>
      <c r="F147" s="97" t="str">
        <f>IF(C147="","",IFERROR(SUMIFS(tbLancamentos[Tempo devido],tbLancamentos[Equipamento],$C147,tbLancamentos[Momento da falha],"&gt;="&amp;$C$7,tbLancamentos[Momento da falha],"&lt;="&amp;$D$7),""))</f>
        <v/>
      </c>
      <c r="G14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7" s="127" t="str">
        <f t="shared" si="4"/>
        <v/>
      </c>
    </row>
    <row r="148" spans="2:9" ht="20.100000000000001" customHeight="1" x14ac:dyDescent="0.25">
      <c r="B148" s="94">
        <f>CadEqu!B144</f>
        <v>138</v>
      </c>
      <c r="C148" s="94" t="str">
        <f>IF(CadEqu!F144="","",CadEqu!F144)</f>
        <v/>
      </c>
      <c r="D148" s="97" t="str">
        <f>IF(C148="","",IFERROR(IF(SUMIFS(tbLancamentos[Tempo indisponível],tbLancamentos[Equipamento],$C148,tbLancamentos[Momento da falha],"&gt;="&amp;$C$7,tbLancamentos[Momento da falha],"&lt;="&amp;$D$7)&gt;$E$7,$E$7,SUMIFS(tbLancamentos[Tempo indisponível],tbLancamentos[Equipamento],$C148,tbLancamentos[Momento da falha],"&gt;="&amp;$C$7,tbLancamentos[Momento da falha],"&lt;="&amp;$D$7)),""))</f>
        <v/>
      </c>
      <c r="E148" s="97" t="str">
        <f>IF(C148="","",IFERROR(SUMIFS(tbLancamentos[Meta tempo reparo],tbLancamentos[Equipamento],$C148,tbLancamentos[Momento da falha],"&gt;="&amp;$C$7,tbLancamentos[Momento da falha],"&lt;="&amp;$D$7),""))</f>
        <v/>
      </c>
      <c r="F148" s="97" t="str">
        <f>IF(C148="","",IFERROR(SUMIFS(tbLancamentos[Tempo devido],tbLancamentos[Equipamento],$C148,tbLancamentos[Momento da falha],"&gt;="&amp;$C$7,tbLancamentos[Momento da falha],"&lt;="&amp;$D$7),""))</f>
        <v/>
      </c>
      <c r="G14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8" s="127" t="str">
        <f t="shared" si="4"/>
        <v/>
      </c>
    </row>
    <row r="149" spans="2:9" ht="20.100000000000001" customHeight="1" x14ac:dyDescent="0.25">
      <c r="B149" s="94">
        <f>CadEqu!B145</f>
        <v>139</v>
      </c>
      <c r="C149" s="94" t="str">
        <f>IF(CadEqu!F145="","",CadEqu!F145)</f>
        <v/>
      </c>
      <c r="D149" s="97" t="str">
        <f>IF(C149="","",IFERROR(IF(SUMIFS(tbLancamentos[Tempo indisponível],tbLancamentos[Equipamento],$C149,tbLancamentos[Momento da falha],"&gt;="&amp;$C$7,tbLancamentos[Momento da falha],"&lt;="&amp;$D$7)&gt;$E$7,$E$7,SUMIFS(tbLancamentos[Tempo indisponível],tbLancamentos[Equipamento],$C149,tbLancamentos[Momento da falha],"&gt;="&amp;$C$7,tbLancamentos[Momento da falha],"&lt;="&amp;$D$7)),""))</f>
        <v/>
      </c>
      <c r="E149" s="97" t="str">
        <f>IF(C149="","",IFERROR(SUMIFS(tbLancamentos[Meta tempo reparo],tbLancamentos[Equipamento],$C149,tbLancamentos[Momento da falha],"&gt;="&amp;$C$7,tbLancamentos[Momento da falha],"&lt;="&amp;$D$7),""))</f>
        <v/>
      </c>
      <c r="F149" s="97" t="str">
        <f>IF(C149="","",IFERROR(SUMIFS(tbLancamentos[Tempo devido],tbLancamentos[Equipamento],$C149,tbLancamentos[Momento da falha],"&gt;="&amp;$C$7,tbLancamentos[Momento da falha],"&lt;="&amp;$D$7),""))</f>
        <v/>
      </c>
      <c r="G14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4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49" s="127" t="str">
        <f t="shared" si="4"/>
        <v/>
      </c>
    </row>
    <row r="150" spans="2:9" ht="20.100000000000001" customHeight="1" x14ac:dyDescent="0.25">
      <c r="B150" s="94">
        <f>CadEqu!B146</f>
        <v>140</v>
      </c>
      <c r="C150" s="94" t="str">
        <f>IF(CadEqu!F146="","",CadEqu!F146)</f>
        <v/>
      </c>
      <c r="D150" s="97" t="str">
        <f>IF(C150="","",IFERROR(IF(SUMIFS(tbLancamentos[Tempo indisponível],tbLancamentos[Equipamento],$C150,tbLancamentos[Momento da falha],"&gt;="&amp;$C$7,tbLancamentos[Momento da falha],"&lt;="&amp;$D$7)&gt;$E$7,$E$7,SUMIFS(tbLancamentos[Tempo indisponível],tbLancamentos[Equipamento],$C150,tbLancamentos[Momento da falha],"&gt;="&amp;$C$7,tbLancamentos[Momento da falha],"&lt;="&amp;$D$7)),""))</f>
        <v/>
      </c>
      <c r="E150" s="97" t="str">
        <f>IF(C150="","",IFERROR(SUMIFS(tbLancamentos[Meta tempo reparo],tbLancamentos[Equipamento],$C150,tbLancamentos[Momento da falha],"&gt;="&amp;$C$7,tbLancamentos[Momento da falha],"&lt;="&amp;$D$7),""))</f>
        <v/>
      </c>
      <c r="F150" s="97" t="str">
        <f>IF(C150="","",IFERROR(SUMIFS(tbLancamentos[Tempo devido],tbLancamentos[Equipamento],$C150,tbLancamentos[Momento da falha],"&gt;="&amp;$C$7,tbLancamentos[Momento da falha],"&lt;="&amp;$D$7),""))</f>
        <v/>
      </c>
      <c r="G15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0" s="127" t="str">
        <f t="shared" si="4"/>
        <v/>
      </c>
    </row>
    <row r="151" spans="2:9" ht="20.100000000000001" customHeight="1" x14ac:dyDescent="0.25">
      <c r="B151" s="94">
        <f>CadEqu!B147</f>
        <v>141</v>
      </c>
      <c r="C151" s="94" t="str">
        <f>IF(CadEqu!F147="","",CadEqu!F147)</f>
        <v/>
      </c>
      <c r="D151" s="97" t="str">
        <f>IF(C151="","",IFERROR(IF(SUMIFS(tbLancamentos[Tempo indisponível],tbLancamentos[Equipamento],$C151,tbLancamentos[Momento da falha],"&gt;="&amp;$C$7,tbLancamentos[Momento da falha],"&lt;="&amp;$D$7)&gt;$E$7,$E$7,SUMIFS(tbLancamentos[Tempo indisponível],tbLancamentos[Equipamento],$C151,tbLancamentos[Momento da falha],"&gt;="&amp;$C$7,tbLancamentos[Momento da falha],"&lt;="&amp;$D$7)),""))</f>
        <v/>
      </c>
      <c r="E151" s="97" t="str">
        <f>IF(C151="","",IFERROR(SUMIFS(tbLancamentos[Meta tempo reparo],tbLancamentos[Equipamento],$C151,tbLancamentos[Momento da falha],"&gt;="&amp;$C$7,tbLancamentos[Momento da falha],"&lt;="&amp;$D$7),""))</f>
        <v/>
      </c>
      <c r="F151" s="97" t="str">
        <f>IF(C151="","",IFERROR(SUMIFS(tbLancamentos[Tempo devido],tbLancamentos[Equipamento],$C151,tbLancamentos[Momento da falha],"&gt;="&amp;$C$7,tbLancamentos[Momento da falha],"&lt;="&amp;$D$7),""))</f>
        <v/>
      </c>
      <c r="G15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1" s="127" t="str">
        <f t="shared" si="4"/>
        <v/>
      </c>
    </row>
    <row r="152" spans="2:9" ht="20.100000000000001" customHeight="1" x14ac:dyDescent="0.25">
      <c r="B152" s="94">
        <f>CadEqu!B148</f>
        <v>142</v>
      </c>
      <c r="C152" s="94" t="str">
        <f>IF(CadEqu!F148="","",CadEqu!F148)</f>
        <v/>
      </c>
      <c r="D152" s="97" t="str">
        <f>IF(C152="","",IFERROR(IF(SUMIFS(tbLancamentos[Tempo indisponível],tbLancamentos[Equipamento],$C152,tbLancamentos[Momento da falha],"&gt;="&amp;$C$7,tbLancamentos[Momento da falha],"&lt;="&amp;$D$7)&gt;$E$7,$E$7,SUMIFS(tbLancamentos[Tempo indisponível],tbLancamentos[Equipamento],$C152,tbLancamentos[Momento da falha],"&gt;="&amp;$C$7,tbLancamentos[Momento da falha],"&lt;="&amp;$D$7)),""))</f>
        <v/>
      </c>
      <c r="E152" s="97" t="str">
        <f>IF(C152="","",IFERROR(SUMIFS(tbLancamentos[Meta tempo reparo],tbLancamentos[Equipamento],$C152,tbLancamentos[Momento da falha],"&gt;="&amp;$C$7,tbLancamentos[Momento da falha],"&lt;="&amp;$D$7),""))</f>
        <v/>
      </c>
      <c r="F152" s="97" t="str">
        <f>IF(C152="","",IFERROR(SUMIFS(tbLancamentos[Tempo devido],tbLancamentos[Equipamento],$C152,tbLancamentos[Momento da falha],"&gt;="&amp;$C$7,tbLancamentos[Momento da falha],"&lt;="&amp;$D$7),""))</f>
        <v/>
      </c>
      <c r="G15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2" s="127" t="str">
        <f t="shared" si="4"/>
        <v/>
      </c>
    </row>
    <row r="153" spans="2:9" ht="20.100000000000001" customHeight="1" x14ac:dyDescent="0.25">
      <c r="B153" s="94">
        <f>CadEqu!B149</f>
        <v>143</v>
      </c>
      <c r="C153" s="94" t="str">
        <f>IF(CadEqu!F149="","",CadEqu!F149)</f>
        <v/>
      </c>
      <c r="D153" s="97" t="str">
        <f>IF(C153="","",IFERROR(IF(SUMIFS(tbLancamentos[Tempo indisponível],tbLancamentos[Equipamento],$C153,tbLancamentos[Momento da falha],"&gt;="&amp;$C$7,tbLancamentos[Momento da falha],"&lt;="&amp;$D$7)&gt;$E$7,$E$7,SUMIFS(tbLancamentos[Tempo indisponível],tbLancamentos[Equipamento],$C153,tbLancamentos[Momento da falha],"&gt;="&amp;$C$7,tbLancamentos[Momento da falha],"&lt;="&amp;$D$7)),""))</f>
        <v/>
      </c>
      <c r="E153" s="97" t="str">
        <f>IF(C153="","",IFERROR(SUMIFS(tbLancamentos[Meta tempo reparo],tbLancamentos[Equipamento],$C153,tbLancamentos[Momento da falha],"&gt;="&amp;$C$7,tbLancamentos[Momento da falha],"&lt;="&amp;$D$7),""))</f>
        <v/>
      </c>
      <c r="F153" s="97" t="str">
        <f>IF(C153="","",IFERROR(SUMIFS(tbLancamentos[Tempo devido],tbLancamentos[Equipamento],$C153,tbLancamentos[Momento da falha],"&gt;="&amp;$C$7,tbLancamentos[Momento da falha],"&lt;="&amp;$D$7),""))</f>
        <v/>
      </c>
      <c r="G15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3" s="127" t="str">
        <f t="shared" si="4"/>
        <v/>
      </c>
    </row>
    <row r="154" spans="2:9" ht="20.100000000000001" customHeight="1" x14ac:dyDescent="0.25">
      <c r="B154" s="94">
        <f>CadEqu!B150</f>
        <v>144</v>
      </c>
      <c r="C154" s="94" t="str">
        <f>IF(CadEqu!F150="","",CadEqu!F150)</f>
        <v/>
      </c>
      <c r="D154" s="97" t="str">
        <f>IF(C154="","",IFERROR(IF(SUMIFS(tbLancamentos[Tempo indisponível],tbLancamentos[Equipamento],$C154,tbLancamentos[Momento da falha],"&gt;="&amp;$C$7,tbLancamentos[Momento da falha],"&lt;="&amp;$D$7)&gt;$E$7,$E$7,SUMIFS(tbLancamentos[Tempo indisponível],tbLancamentos[Equipamento],$C154,tbLancamentos[Momento da falha],"&gt;="&amp;$C$7,tbLancamentos[Momento da falha],"&lt;="&amp;$D$7)),""))</f>
        <v/>
      </c>
      <c r="E154" s="97" t="str">
        <f>IF(C154="","",IFERROR(SUMIFS(tbLancamentos[Meta tempo reparo],tbLancamentos[Equipamento],$C154,tbLancamentos[Momento da falha],"&gt;="&amp;$C$7,tbLancamentos[Momento da falha],"&lt;="&amp;$D$7),""))</f>
        <v/>
      </c>
      <c r="F154" s="97" t="str">
        <f>IF(C154="","",IFERROR(SUMIFS(tbLancamentos[Tempo devido],tbLancamentos[Equipamento],$C154,tbLancamentos[Momento da falha],"&gt;="&amp;$C$7,tbLancamentos[Momento da falha],"&lt;="&amp;$D$7),""))</f>
        <v/>
      </c>
      <c r="G15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4" s="127" t="str">
        <f t="shared" si="4"/>
        <v/>
      </c>
    </row>
    <row r="155" spans="2:9" ht="20.100000000000001" customHeight="1" x14ac:dyDescent="0.25">
      <c r="B155" s="94">
        <f>CadEqu!B151</f>
        <v>145</v>
      </c>
      <c r="C155" s="94" t="str">
        <f>IF(CadEqu!F151="","",CadEqu!F151)</f>
        <v/>
      </c>
      <c r="D155" s="97" t="str">
        <f>IF(C155="","",IFERROR(IF(SUMIFS(tbLancamentos[Tempo indisponível],tbLancamentos[Equipamento],$C155,tbLancamentos[Momento da falha],"&gt;="&amp;$C$7,tbLancamentos[Momento da falha],"&lt;="&amp;$D$7)&gt;$E$7,$E$7,SUMIFS(tbLancamentos[Tempo indisponível],tbLancamentos[Equipamento],$C155,tbLancamentos[Momento da falha],"&gt;="&amp;$C$7,tbLancamentos[Momento da falha],"&lt;="&amp;$D$7)),""))</f>
        <v/>
      </c>
      <c r="E155" s="97" t="str">
        <f>IF(C155="","",IFERROR(SUMIFS(tbLancamentos[Meta tempo reparo],tbLancamentos[Equipamento],$C155,tbLancamentos[Momento da falha],"&gt;="&amp;$C$7,tbLancamentos[Momento da falha],"&lt;="&amp;$D$7),""))</f>
        <v/>
      </c>
      <c r="F155" s="97" t="str">
        <f>IF(C155="","",IFERROR(SUMIFS(tbLancamentos[Tempo devido],tbLancamentos[Equipamento],$C155,tbLancamentos[Momento da falha],"&gt;="&amp;$C$7,tbLancamentos[Momento da falha],"&lt;="&amp;$D$7),""))</f>
        <v/>
      </c>
      <c r="G15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5" s="127" t="str">
        <f t="shared" si="4"/>
        <v/>
      </c>
    </row>
    <row r="156" spans="2:9" ht="20.100000000000001" customHeight="1" x14ac:dyDescent="0.25">
      <c r="B156" s="94">
        <f>CadEqu!B152</f>
        <v>146</v>
      </c>
      <c r="C156" s="94" t="str">
        <f>IF(CadEqu!F152="","",CadEqu!F152)</f>
        <v/>
      </c>
      <c r="D156" s="97" t="str">
        <f>IF(C156="","",IFERROR(IF(SUMIFS(tbLancamentos[Tempo indisponível],tbLancamentos[Equipamento],$C156,tbLancamentos[Momento da falha],"&gt;="&amp;$C$7,tbLancamentos[Momento da falha],"&lt;="&amp;$D$7)&gt;$E$7,$E$7,SUMIFS(tbLancamentos[Tempo indisponível],tbLancamentos[Equipamento],$C156,tbLancamentos[Momento da falha],"&gt;="&amp;$C$7,tbLancamentos[Momento da falha],"&lt;="&amp;$D$7)),""))</f>
        <v/>
      </c>
      <c r="E156" s="97" t="str">
        <f>IF(C156="","",IFERROR(SUMIFS(tbLancamentos[Meta tempo reparo],tbLancamentos[Equipamento],$C156,tbLancamentos[Momento da falha],"&gt;="&amp;$C$7,tbLancamentos[Momento da falha],"&lt;="&amp;$D$7),""))</f>
        <v/>
      </c>
      <c r="F156" s="97" t="str">
        <f>IF(C156="","",IFERROR(SUMIFS(tbLancamentos[Tempo devido],tbLancamentos[Equipamento],$C156,tbLancamentos[Momento da falha],"&gt;="&amp;$C$7,tbLancamentos[Momento da falha],"&lt;="&amp;$D$7),""))</f>
        <v/>
      </c>
      <c r="G15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6" s="127" t="str">
        <f t="shared" si="4"/>
        <v/>
      </c>
    </row>
    <row r="157" spans="2:9" ht="20.100000000000001" customHeight="1" x14ac:dyDescent="0.25">
      <c r="B157" s="94">
        <f>CadEqu!B153</f>
        <v>147</v>
      </c>
      <c r="C157" s="94" t="str">
        <f>IF(CadEqu!F153="","",CadEqu!F153)</f>
        <v/>
      </c>
      <c r="D157" s="97" t="str">
        <f>IF(C157="","",IFERROR(IF(SUMIFS(tbLancamentos[Tempo indisponível],tbLancamentos[Equipamento],$C157,tbLancamentos[Momento da falha],"&gt;="&amp;$C$7,tbLancamentos[Momento da falha],"&lt;="&amp;$D$7)&gt;$E$7,$E$7,SUMIFS(tbLancamentos[Tempo indisponível],tbLancamentos[Equipamento],$C157,tbLancamentos[Momento da falha],"&gt;="&amp;$C$7,tbLancamentos[Momento da falha],"&lt;="&amp;$D$7)),""))</f>
        <v/>
      </c>
      <c r="E157" s="97" t="str">
        <f>IF(C157="","",IFERROR(SUMIFS(tbLancamentos[Meta tempo reparo],tbLancamentos[Equipamento],$C157,tbLancamentos[Momento da falha],"&gt;="&amp;$C$7,tbLancamentos[Momento da falha],"&lt;="&amp;$D$7),""))</f>
        <v/>
      </c>
      <c r="F157" s="97" t="str">
        <f>IF(C157="","",IFERROR(SUMIFS(tbLancamentos[Tempo devido],tbLancamentos[Equipamento],$C157,tbLancamentos[Momento da falha],"&gt;="&amp;$C$7,tbLancamentos[Momento da falha],"&lt;="&amp;$D$7),""))</f>
        <v/>
      </c>
      <c r="G15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7" s="127" t="str">
        <f t="shared" si="4"/>
        <v/>
      </c>
    </row>
    <row r="158" spans="2:9" ht="20.100000000000001" customHeight="1" x14ac:dyDescent="0.25">
      <c r="B158" s="94">
        <f>CadEqu!B154</f>
        <v>148</v>
      </c>
      <c r="C158" s="94" t="str">
        <f>IF(CadEqu!F154="","",CadEqu!F154)</f>
        <v/>
      </c>
      <c r="D158" s="97" t="str">
        <f>IF(C158="","",IFERROR(IF(SUMIFS(tbLancamentos[Tempo indisponível],tbLancamentos[Equipamento],$C158,tbLancamentos[Momento da falha],"&gt;="&amp;$C$7,tbLancamentos[Momento da falha],"&lt;="&amp;$D$7)&gt;$E$7,$E$7,SUMIFS(tbLancamentos[Tempo indisponível],tbLancamentos[Equipamento],$C158,tbLancamentos[Momento da falha],"&gt;="&amp;$C$7,tbLancamentos[Momento da falha],"&lt;="&amp;$D$7)),""))</f>
        <v/>
      </c>
      <c r="E158" s="97" t="str">
        <f>IF(C158="","",IFERROR(SUMIFS(tbLancamentos[Meta tempo reparo],tbLancamentos[Equipamento],$C158,tbLancamentos[Momento da falha],"&gt;="&amp;$C$7,tbLancamentos[Momento da falha],"&lt;="&amp;$D$7),""))</f>
        <v/>
      </c>
      <c r="F158" s="97" t="str">
        <f>IF(C158="","",IFERROR(SUMIFS(tbLancamentos[Tempo devido],tbLancamentos[Equipamento],$C158,tbLancamentos[Momento da falha],"&gt;="&amp;$C$7,tbLancamentos[Momento da falha],"&lt;="&amp;$D$7),""))</f>
        <v/>
      </c>
      <c r="G15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8" s="127" t="str">
        <f t="shared" si="4"/>
        <v/>
      </c>
    </row>
    <row r="159" spans="2:9" ht="20.100000000000001" customHeight="1" x14ac:dyDescent="0.25">
      <c r="B159" s="94">
        <f>CadEqu!B155</f>
        <v>149</v>
      </c>
      <c r="C159" s="94" t="str">
        <f>IF(CadEqu!F155="","",CadEqu!F155)</f>
        <v/>
      </c>
      <c r="D159" s="97" t="str">
        <f>IF(C159="","",IFERROR(IF(SUMIFS(tbLancamentos[Tempo indisponível],tbLancamentos[Equipamento],$C159,tbLancamentos[Momento da falha],"&gt;="&amp;$C$7,tbLancamentos[Momento da falha],"&lt;="&amp;$D$7)&gt;$E$7,$E$7,SUMIFS(tbLancamentos[Tempo indisponível],tbLancamentos[Equipamento],$C159,tbLancamentos[Momento da falha],"&gt;="&amp;$C$7,tbLancamentos[Momento da falha],"&lt;="&amp;$D$7)),""))</f>
        <v/>
      </c>
      <c r="E159" s="97" t="str">
        <f>IF(C159="","",IFERROR(SUMIFS(tbLancamentos[Meta tempo reparo],tbLancamentos[Equipamento],$C159,tbLancamentos[Momento da falha],"&gt;="&amp;$C$7,tbLancamentos[Momento da falha],"&lt;="&amp;$D$7),""))</f>
        <v/>
      </c>
      <c r="F159" s="97" t="str">
        <f>IF(C159="","",IFERROR(SUMIFS(tbLancamentos[Tempo devido],tbLancamentos[Equipamento],$C159,tbLancamentos[Momento da falha],"&gt;="&amp;$C$7,tbLancamentos[Momento da falha],"&lt;="&amp;$D$7),""))</f>
        <v/>
      </c>
      <c r="G15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5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59" s="127" t="str">
        <f t="shared" si="4"/>
        <v/>
      </c>
    </row>
    <row r="160" spans="2:9" ht="20.100000000000001" customHeight="1" x14ac:dyDescent="0.25">
      <c r="B160" s="94">
        <f>CadEqu!B156</f>
        <v>150</v>
      </c>
      <c r="C160" s="94" t="str">
        <f>IF(CadEqu!F156="","",CadEqu!F156)</f>
        <v/>
      </c>
      <c r="D160" s="97" t="str">
        <f>IF(C160="","",IFERROR(IF(SUMIFS(tbLancamentos[Tempo indisponível],tbLancamentos[Equipamento],$C160,tbLancamentos[Momento da falha],"&gt;="&amp;$C$7,tbLancamentos[Momento da falha],"&lt;="&amp;$D$7)&gt;$E$7,$E$7,SUMIFS(tbLancamentos[Tempo indisponível],tbLancamentos[Equipamento],$C160,tbLancamentos[Momento da falha],"&gt;="&amp;$C$7,tbLancamentos[Momento da falha],"&lt;="&amp;$D$7)),""))</f>
        <v/>
      </c>
      <c r="E160" s="97" t="str">
        <f>IF(C160="","",IFERROR(SUMIFS(tbLancamentos[Meta tempo reparo],tbLancamentos[Equipamento],$C160,tbLancamentos[Momento da falha],"&gt;="&amp;$C$7,tbLancamentos[Momento da falha],"&lt;="&amp;$D$7),""))</f>
        <v/>
      </c>
      <c r="F160" s="97" t="str">
        <f>IF(C160="","",IFERROR(SUMIFS(tbLancamentos[Tempo devido],tbLancamentos[Equipamento],$C160,tbLancamentos[Momento da falha],"&gt;="&amp;$C$7,tbLancamentos[Momento da falha],"&lt;="&amp;$D$7),""))</f>
        <v/>
      </c>
      <c r="G16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0" s="127" t="str">
        <f t="shared" si="4"/>
        <v/>
      </c>
    </row>
    <row r="161" spans="2:9" ht="20.100000000000001" customHeight="1" x14ac:dyDescent="0.25">
      <c r="B161" s="94">
        <f>CadEqu!B157</f>
        <v>151</v>
      </c>
      <c r="C161" s="94" t="str">
        <f>IF(CadEqu!F157="","",CadEqu!F157)</f>
        <v/>
      </c>
      <c r="D161" s="97" t="str">
        <f>IF(C161="","",IFERROR(IF(SUMIFS(tbLancamentos[Tempo indisponível],tbLancamentos[Equipamento],$C161,tbLancamentos[Momento da falha],"&gt;="&amp;$C$7,tbLancamentos[Momento da falha],"&lt;="&amp;$D$7)&gt;$E$7,$E$7,SUMIFS(tbLancamentos[Tempo indisponível],tbLancamentos[Equipamento],$C161,tbLancamentos[Momento da falha],"&gt;="&amp;$C$7,tbLancamentos[Momento da falha],"&lt;="&amp;$D$7)),""))</f>
        <v/>
      </c>
      <c r="E161" s="97" t="str">
        <f>IF(C161="","",IFERROR(SUMIFS(tbLancamentos[Meta tempo reparo],tbLancamentos[Equipamento],$C161,tbLancamentos[Momento da falha],"&gt;="&amp;$C$7,tbLancamentos[Momento da falha],"&lt;="&amp;$D$7),""))</f>
        <v/>
      </c>
      <c r="F161" s="97" t="str">
        <f>IF(C161="","",IFERROR(SUMIFS(tbLancamentos[Tempo devido],tbLancamentos[Equipamento],$C161,tbLancamentos[Momento da falha],"&gt;="&amp;$C$7,tbLancamentos[Momento da falha],"&lt;="&amp;$D$7),""))</f>
        <v/>
      </c>
      <c r="G16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1" s="127" t="str">
        <f t="shared" si="4"/>
        <v/>
      </c>
    </row>
    <row r="162" spans="2:9" ht="20.100000000000001" customHeight="1" x14ac:dyDescent="0.25">
      <c r="B162" s="94">
        <f>CadEqu!B158</f>
        <v>152</v>
      </c>
      <c r="C162" s="94" t="str">
        <f>IF(CadEqu!F158="","",CadEqu!F158)</f>
        <v/>
      </c>
      <c r="D162" s="97" t="str">
        <f>IF(C162="","",IFERROR(IF(SUMIFS(tbLancamentos[Tempo indisponível],tbLancamentos[Equipamento],$C162,tbLancamentos[Momento da falha],"&gt;="&amp;$C$7,tbLancamentos[Momento da falha],"&lt;="&amp;$D$7)&gt;$E$7,$E$7,SUMIFS(tbLancamentos[Tempo indisponível],tbLancamentos[Equipamento],$C162,tbLancamentos[Momento da falha],"&gt;="&amp;$C$7,tbLancamentos[Momento da falha],"&lt;="&amp;$D$7)),""))</f>
        <v/>
      </c>
      <c r="E162" s="97" t="str">
        <f>IF(C162="","",IFERROR(SUMIFS(tbLancamentos[Meta tempo reparo],tbLancamentos[Equipamento],$C162,tbLancamentos[Momento da falha],"&gt;="&amp;$C$7,tbLancamentos[Momento da falha],"&lt;="&amp;$D$7),""))</f>
        <v/>
      </c>
      <c r="F162" s="97" t="str">
        <f>IF(C162="","",IFERROR(SUMIFS(tbLancamentos[Tempo devido],tbLancamentos[Equipamento],$C162,tbLancamentos[Momento da falha],"&gt;="&amp;$C$7,tbLancamentos[Momento da falha],"&lt;="&amp;$D$7),""))</f>
        <v/>
      </c>
      <c r="G16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2" s="127" t="str">
        <f t="shared" si="4"/>
        <v/>
      </c>
    </row>
    <row r="163" spans="2:9" ht="20.100000000000001" customHeight="1" x14ac:dyDescent="0.25">
      <c r="B163" s="94">
        <f>CadEqu!B159</f>
        <v>153</v>
      </c>
      <c r="C163" s="94" t="str">
        <f>IF(CadEqu!F159="","",CadEqu!F159)</f>
        <v/>
      </c>
      <c r="D163" s="97" t="str">
        <f>IF(C163="","",IFERROR(IF(SUMIFS(tbLancamentos[Tempo indisponível],tbLancamentos[Equipamento],$C163,tbLancamentos[Momento da falha],"&gt;="&amp;$C$7,tbLancamentos[Momento da falha],"&lt;="&amp;$D$7)&gt;$E$7,$E$7,SUMIFS(tbLancamentos[Tempo indisponível],tbLancamentos[Equipamento],$C163,tbLancamentos[Momento da falha],"&gt;="&amp;$C$7,tbLancamentos[Momento da falha],"&lt;="&amp;$D$7)),""))</f>
        <v/>
      </c>
      <c r="E163" s="97" t="str">
        <f>IF(C163="","",IFERROR(SUMIFS(tbLancamentos[Meta tempo reparo],tbLancamentos[Equipamento],$C163,tbLancamentos[Momento da falha],"&gt;="&amp;$C$7,tbLancamentos[Momento da falha],"&lt;="&amp;$D$7),""))</f>
        <v/>
      </c>
      <c r="F163" s="97" t="str">
        <f>IF(C163="","",IFERROR(SUMIFS(tbLancamentos[Tempo devido],tbLancamentos[Equipamento],$C163,tbLancamentos[Momento da falha],"&gt;="&amp;$C$7,tbLancamentos[Momento da falha],"&lt;="&amp;$D$7),""))</f>
        <v/>
      </c>
      <c r="G16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3" s="127" t="str">
        <f t="shared" si="4"/>
        <v/>
      </c>
    </row>
    <row r="164" spans="2:9" ht="20.100000000000001" customHeight="1" x14ac:dyDescent="0.25">
      <c r="B164" s="94">
        <f>CadEqu!B160</f>
        <v>154</v>
      </c>
      <c r="C164" s="94" t="str">
        <f>IF(CadEqu!F160="","",CadEqu!F160)</f>
        <v/>
      </c>
      <c r="D164" s="97" t="str">
        <f>IF(C164="","",IFERROR(IF(SUMIFS(tbLancamentos[Tempo indisponível],tbLancamentos[Equipamento],$C164,tbLancamentos[Momento da falha],"&gt;="&amp;$C$7,tbLancamentos[Momento da falha],"&lt;="&amp;$D$7)&gt;$E$7,$E$7,SUMIFS(tbLancamentos[Tempo indisponível],tbLancamentos[Equipamento],$C164,tbLancamentos[Momento da falha],"&gt;="&amp;$C$7,tbLancamentos[Momento da falha],"&lt;="&amp;$D$7)),""))</f>
        <v/>
      </c>
      <c r="E164" s="97" t="str">
        <f>IF(C164="","",IFERROR(SUMIFS(tbLancamentos[Meta tempo reparo],tbLancamentos[Equipamento],$C164,tbLancamentos[Momento da falha],"&gt;="&amp;$C$7,tbLancamentos[Momento da falha],"&lt;="&amp;$D$7),""))</f>
        <v/>
      </c>
      <c r="F164" s="97" t="str">
        <f>IF(C164="","",IFERROR(SUMIFS(tbLancamentos[Tempo devido],tbLancamentos[Equipamento],$C164,tbLancamentos[Momento da falha],"&gt;="&amp;$C$7,tbLancamentos[Momento da falha],"&lt;="&amp;$D$7),""))</f>
        <v/>
      </c>
      <c r="G16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4" s="127" t="str">
        <f t="shared" si="4"/>
        <v/>
      </c>
    </row>
    <row r="165" spans="2:9" ht="20.100000000000001" customHeight="1" x14ac:dyDescent="0.25">
      <c r="B165" s="94">
        <f>CadEqu!B161</f>
        <v>155</v>
      </c>
      <c r="C165" s="94" t="str">
        <f>IF(CadEqu!F161="","",CadEqu!F161)</f>
        <v/>
      </c>
      <c r="D165" s="97" t="str">
        <f>IF(C165="","",IFERROR(IF(SUMIFS(tbLancamentos[Tempo indisponível],tbLancamentos[Equipamento],$C165,tbLancamentos[Momento da falha],"&gt;="&amp;$C$7,tbLancamentos[Momento da falha],"&lt;="&amp;$D$7)&gt;$E$7,$E$7,SUMIFS(tbLancamentos[Tempo indisponível],tbLancamentos[Equipamento],$C165,tbLancamentos[Momento da falha],"&gt;="&amp;$C$7,tbLancamentos[Momento da falha],"&lt;="&amp;$D$7)),""))</f>
        <v/>
      </c>
      <c r="E165" s="97" t="str">
        <f>IF(C165="","",IFERROR(SUMIFS(tbLancamentos[Meta tempo reparo],tbLancamentos[Equipamento],$C165,tbLancamentos[Momento da falha],"&gt;="&amp;$C$7,tbLancamentos[Momento da falha],"&lt;="&amp;$D$7),""))</f>
        <v/>
      </c>
      <c r="F165" s="97" t="str">
        <f>IF(C165="","",IFERROR(SUMIFS(tbLancamentos[Tempo devido],tbLancamentos[Equipamento],$C165,tbLancamentos[Momento da falha],"&gt;="&amp;$C$7,tbLancamentos[Momento da falha],"&lt;="&amp;$D$7),""))</f>
        <v/>
      </c>
      <c r="G16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5" s="127" t="str">
        <f t="shared" si="4"/>
        <v/>
      </c>
    </row>
    <row r="166" spans="2:9" ht="20.100000000000001" customHeight="1" x14ac:dyDescent="0.25">
      <c r="B166" s="94">
        <f>CadEqu!B162</f>
        <v>156</v>
      </c>
      <c r="C166" s="94" t="str">
        <f>IF(CadEqu!F162="","",CadEqu!F162)</f>
        <v/>
      </c>
      <c r="D166" s="97" t="str">
        <f>IF(C166="","",IFERROR(IF(SUMIFS(tbLancamentos[Tempo indisponível],tbLancamentos[Equipamento],$C166,tbLancamentos[Momento da falha],"&gt;="&amp;$C$7,tbLancamentos[Momento da falha],"&lt;="&amp;$D$7)&gt;$E$7,$E$7,SUMIFS(tbLancamentos[Tempo indisponível],tbLancamentos[Equipamento],$C166,tbLancamentos[Momento da falha],"&gt;="&amp;$C$7,tbLancamentos[Momento da falha],"&lt;="&amp;$D$7)),""))</f>
        <v/>
      </c>
      <c r="E166" s="97" t="str">
        <f>IF(C166="","",IFERROR(SUMIFS(tbLancamentos[Meta tempo reparo],tbLancamentos[Equipamento],$C166,tbLancamentos[Momento da falha],"&gt;="&amp;$C$7,tbLancamentos[Momento da falha],"&lt;="&amp;$D$7),""))</f>
        <v/>
      </c>
      <c r="F166" s="97" t="str">
        <f>IF(C166="","",IFERROR(SUMIFS(tbLancamentos[Tempo devido],tbLancamentos[Equipamento],$C166,tbLancamentos[Momento da falha],"&gt;="&amp;$C$7,tbLancamentos[Momento da falha],"&lt;="&amp;$D$7),""))</f>
        <v/>
      </c>
      <c r="G16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6" s="127" t="str">
        <f t="shared" si="4"/>
        <v/>
      </c>
    </row>
    <row r="167" spans="2:9" ht="20.100000000000001" customHeight="1" x14ac:dyDescent="0.25">
      <c r="B167" s="94">
        <f>CadEqu!B163</f>
        <v>157</v>
      </c>
      <c r="C167" s="94" t="str">
        <f>IF(CadEqu!F163="","",CadEqu!F163)</f>
        <v/>
      </c>
      <c r="D167" s="97" t="str">
        <f>IF(C167="","",IFERROR(IF(SUMIFS(tbLancamentos[Tempo indisponível],tbLancamentos[Equipamento],$C167,tbLancamentos[Momento da falha],"&gt;="&amp;$C$7,tbLancamentos[Momento da falha],"&lt;="&amp;$D$7)&gt;$E$7,$E$7,SUMIFS(tbLancamentos[Tempo indisponível],tbLancamentos[Equipamento],$C167,tbLancamentos[Momento da falha],"&gt;="&amp;$C$7,tbLancamentos[Momento da falha],"&lt;="&amp;$D$7)),""))</f>
        <v/>
      </c>
      <c r="E167" s="97" t="str">
        <f>IF(C167="","",IFERROR(SUMIFS(tbLancamentos[Meta tempo reparo],tbLancamentos[Equipamento],$C167,tbLancamentos[Momento da falha],"&gt;="&amp;$C$7,tbLancamentos[Momento da falha],"&lt;="&amp;$D$7),""))</f>
        <v/>
      </c>
      <c r="F167" s="97" t="str">
        <f>IF(C167="","",IFERROR(SUMIFS(tbLancamentos[Tempo devido],tbLancamentos[Equipamento],$C167,tbLancamentos[Momento da falha],"&gt;="&amp;$C$7,tbLancamentos[Momento da falha],"&lt;="&amp;$D$7),""))</f>
        <v/>
      </c>
      <c r="G16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7" s="127" t="str">
        <f t="shared" si="4"/>
        <v/>
      </c>
    </row>
    <row r="168" spans="2:9" ht="20.100000000000001" customHeight="1" x14ac:dyDescent="0.25">
      <c r="B168" s="94">
        <f>CadEqu!B164</f>
        <v>158</v>
      </c>
      <c r="C168" s="94" t="str">
        <f>IF(CadEqu!F164="","",CadEqu!F164)</f>
        <v/>
      </c>
      <c r="D168" s="97" t="str">
        <f>IF(C168="","",IFERROR(IF(SUMIFS(tbLancamentos[Tempo indisponível],tbLancamentos[Equipamento],$C168,tbLancamentos[Momento da falha],"&gt;="&amp;$C$7,tbLancamentos[Momento da falha],"&lt;="&amp;$D$7)&gt;$E$7,$E$7,SUMIFS(tbLancamentos[Tempo indisponível],tbLancamentos[Equipamento],$C168,tbLancamentos[Momento da falha],"&gt;="&amp;$C$7,tbLancamentos[Momento da falha],"&lt;="&amp;$D$7)),""))</f>
        <v/>
      </c>
      <c r="E168" s="97" t="str">
        <f>IF(C168="","",IFERROR(SUMIFS(tbLancamentos[Meta tempo reparo],tbLancamentos[Equipamento],$C168,tbLancamentos[Momento da falha],"&gt;="&amp;$C$7,tbLancamentos[Momento da falha],"&lt;="&amp;$D$7),""))</f>
        <v/>
      </c>
      <c r="F168" s="97" t="str">
        <f>IF(C168="","",IFERROR(SUMIFS(tbLancamentos[Tempo devido],tbLancamentos[Equipamento],$C168,tbLancamentos[Momento da falha],"&gt;="&amp;$C$7,tbLancamentos[Momento da falha],"&lt;="&amp;$D$7),""))</f>
        <v/>
      </c>
      <c r="G16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8" s="127" t="str">
        <f t="shared" si="4"/>
        <v/>
      </c>
    </row>
    <row r="169" spans="2:9" ht="20.100000000000001" customHeight="1" x14ac:dyDescent="0.25">
      <c r="B169" s="94">
        <f>CadEqu!B165</f>
        <v>159</v>
      </c>
      <c r="C169" s="94" t="str">
        <f>IF(CadEqu!F165="","",CadEqu!F165)</f>
        <v/>
      </c>
      <c r="D169" s="97" t="str">
        <f>IF(C169="","",IFERROR(IF(SUMIFS(tbLancamentos[Tempo indisponível],tbLancamentos[Equipamento],$C169,tbLancamentos[Momento da falha],"&gt;="&amp;$C$7,tbLancamentos[Momento da falha],"&lt;="&amp;$D$7)&gt;$E$7,$E$7,SUMIFS(tbLancamentos[Tempo indisponível],tbLancamentos[Equipamento],$C169,tbLancamentos[Momento da falha],"&gt;="&amp;$C$7,tbLancamentos[Momento da falha],"&lt;="&amp;$D$7)),""))</f>
        <v/>
      </c>
      <c r="E169" s="97" t="str">
        <f>IF(C169="","",IFERROR(SUMIFS(tbLancamentos[Meta tempo reparo],tbLancamentos[Equipamento],$C169,tbLancamentos[Momento da falha],"&gt;="&amp;$C$7,tbLancamentos[Momento da falha],"&lt;="&amp;$D$7),""))</f>
        <v/>
      </c>
      <c r="F169" s="97" t="str">
        <f>IF(C169="","",IFERROR(SUMIFS(tbLancamentos[Tempo devido],tbLancamentos[Equipamento],$C169,tbLancamentos[Momento da falha],"&gt;="&amp;$C$7,tbLancamentos[Momento da falha],"&lt;="&amp;$D$7),""))</f>
        <v/>
      </c>
      <c r="G16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6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69" s="127" t="str">
        <f t="shared" si="4"/>
        <v/>
      </c>
    </row>
    <row r="170" spans="2:9" ht="20.100000000000001" customHeight="1" x14ac:dyDescent="0.25">
      <c r="B170" s="94">
        <f>CadEqu!B166</f>
        <v>160</v>
      </c>
      <c r="C170" s="94" t="str">
        <f>IF(CadEqu!F166="","",CadEqu!F166)</f>
        <v/>
      </c>
      <c r="D170" s="97" t="str">
        <f>IF(C170="","",IFERROR(IF(SUMIFS(tbLancamentos[Tempo indisponível],tbLancamentos[Equipamento],$C170,tbLancamentos[Momento da falha],"&gt;="&amp;$C$7,tbLancamentos[Momento da falha],"&lt;="&amp;$D$7)&gt;$E$7,$E$7,SUMIFS(tbLancamentos[Tempo indisponível],tbLancamentos[Equipamento],$C170,tbLancamentos[Momento da falha],"&gt;="&amp;$C$7,tbLancamentos[Momento da falha],"&lt;="&amp;$D$7)),""))</f>
        <v/>
      </c>
      <c r="E170" s="97" t="str">
        <f>IF(C170="","",IFERROR(SUMIFS(tbLancamentos[Meta tempo reparo],tbLancamentos[Equipamento],$C170,tbLancamentos[Momento da falha],"&gt;="&amp;$C$7,tbLancamentos[Momento da falha],"&lt;="&amp;$D$7),""))</f>
        <v/>
      </c>
      <c r="F170" s="97" t="str">
        <f>IF(C170="","",IFERROR(SUMIFS(tbLancamentos[Tempo devido],tbLancamentos[Equipamento],$C170,tbLancamentos[Momento da falha],"&gt;="&amp;$C$7,tbLancamentos[Momento da falha],"&lt;="&amp;$D$7),""))</f>
        <v/>
      </c>
      <c r="G17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0" s="127" t="str">
        <f t="shared" si="4"/>
        <v/>
      </c>
    </row>
    <row r="171" spans="2:9" ht="20.100000000000001" customHeight="1" x14ac:dyDescent="0.25">
      <c r="B171" s="94">
        <f>CadEqu!B167</f>
        <v>161</v>
      </c>
      <c r="C171" s="94" t="str">
        <f>IF(CadEqu!F167="","",CadEqu!F167)</f>
        <v/>
      </c>
      <c r="D171" s="97" t="str">
        <f>IF(C171="","",IFERROR(IF(SUMIFS(tbLancamentos[Tempo indisponível],tbLancamentos[Equipamento],$C171,tbLancamentos[Momento da falha],"&gt;="&amp;$C$7,tbLancamentos[Momento da falha],"&lt;="&amp;$D$7)&gt;$E$7,$E$7,SUMIFS(tbLancamentos[Tempo indisponível],tbLancamentos[Equipamento],$C171,tbLancamentos[Momento da falha],"&gt;="&amp;$C$7,tbLancamentos[Momento da falha],"&lt;="&amp;$D$7)),""))</f>
        <v/>
      </c>
      <c r="E171" s="97" t="str">
        <f>IF(C171="","",IFERROR(SUMIFS(tbLancamentos[Meta tempo reparo],tbLancamentos[Equipamento],$C171,tbLancamentos[Momento da falha],"&gt;="&amp;$C$7,tbLancamentos[Momento da falha],"&lt;="&amp;$D$7),""))</f>
        <v/>
      </c>
      <c r="F171" s="97" t="str">
        <f>IF(C171="","",IFERROR(SUMIFS(tbLancamentos[Tempo devido],tbLancamentos[Equipamento],$C171,tbLancamentos[Momento da falha],"&gt;="&amp;$C$7,tbLancamentos[Momento da falha],"&lt;="&amp;$D$7),""))</f>
        <v/>
      </c>
      <c r="G17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1" s="127" t="str">
        <f t="shared" si="4"/>
        <v/>
      </c>
    </row>
    <row r="172" spans="2:9" ht="20.100000000000001" customHeight="1" x14ac:dyDescent="0.25">
      <c r="B172" s="94">
        <f>CadEqu!B168</f>
        <v>162</v>
      </c>
      <c r="C172" s="94" t="str">
        <f>IF(CadEqu!F168="","",CadEqu!F168)</f>
        <v/>
      </c>
      <c r="D172" s="97" t="str">
        <f>IF(C172="","",IFERROR(IF(SUMIFS(tbLancamentos[Tempo indisponível],tbLancamentos[Equipamento],$C172,tbLancamentos[Momento da falha],"&gt;="&amp;$C$7,tbLancamentos[Momento da falha],"&lt;="&amp;$D$7)&gt;$E$7,$E$7,SUMIFS(tbLancamentos[Tempo indisponível],tbLancamentos[Equipamento],$C172,tbLancamentos[Momento da falha],"&gt;="&amp;$C$7,tbLancamentos[Momento da falha],"&lt;="&amp;$D$7)),""))</f>
        <v/>
      </c>
      <c r="E172" s="97" t="str">
        <f>IF(C172="","",IFERROR(SUMIFS(tbLancamentos[Meta tempo reparo],tbLancamentos[Equipamento],$C172,tbLancamentos[Momento da falha],"&gt;="&amp;$C$7,tbLancamentos[Momento da falha],"&lt;="&amp;$D$7),""))</f>
        <v/>
      </c>
      <c r="F172" s="97" t="str">
        <f>IF(C172="","",IFERROR(SUMIFS(tbLancamentos[Tempo devido],tbLancamentos[Equipamento],$C172,tbLancamentos[Momento da falha],"&gt;="&amp;$C$7,tbLancamentos[Momento da falha],"&lt;="&amp;$D$7),""))</f>
        <v/>
      </c>
      <c r="G17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2" s="127" t="str">
        <f t="shared" si="4"/>
        <v/>
      </c>
    </row>
    <row r="173" spans="2:9" ht="20.100000000000001" customHeight="1" x14ac:dyDescent="0.25">
      <c r="B173" s="94">
        <f>CadEqu!B169</f>
        <v>163</v>
      </c>
      <c r="C173" s="94" t="str">
        <f>IF(CadEqu!F169="","",CadEqu!F169)</f>
        <v/>
      </c>
      <c r="D173" s="97" t="str">
        <f>IF(C173="","",IFERROR(IF(SUMIFS(tbLancamentos[Tempo indisponível],tbLancamentos[Equipamento],$C173,tbLancamentos[Momento da falha],"&gt;="&amp;$C$7,tbLancamentos[Momento da falha],"&lt;="&amp;$D$7)&gt;$E$7,$E$7,SUMIFS(tbLancamentos[Tempo indisponível],tbLancamentos[Equipamento],$C173,tbLancamentos[Momento da falha],"&gt;="&amp;$C$7,tbLancamentos[Momento da falha],"&lt;="&amp;$D$7)),""))</f>
        <v/>
      </c>
      <c r="E173" s="97" t="str">
        <f>IF(C173="","",IFERROR(SUMIFS(tbLancamentos[Meta tempo reparo],tbLancamentos[Equipamento],$C173,tbLancamentos[Momento da falha],"&gt;="&amp;$C$7,tbLancamentos[Momento da falha],"&lt;="&amp;$D$7),""))</f>
        <v/>
      </c>
      <c r="F173" s="97" t="str">
        <f>IF(C173="","",IFERROR(SUMIFS(tbLancamentos[Tempo devido],tbLancamentos[Equipamento],$C173,tbLancamentos[Momento da falha],"&gt;="&amp;$C$7,tbLancamentos[Momento da falha],"&lt;="&amp;$D$7),""))</f>
        <v/>
      </c>
      <c r="G17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3" s="127" t="str">
        <f t="shared" si="4"/>
        <v/>
      </c>
    </row>
    <row r="174" spans="2:9" ht="20.100000000000001" customHeight="1" x14ac:dyDescent="0.25">
      <c r="B174" s="94">
        <f>CadEqu!B170</f>
        <v>164</v>
      </c>
      <c r="C174" s="94" t="str">
        <f>IF(CadEqu!F170="","",CadEqu!F170)</f>
        <v/>
      </c>
      <c r="D174" s="97" t="str">
        <f>IF(C174="","",IFERROR(IF(SUMIFS(tbLancamentos[Tempo indisponível],tbLancamentos[Equipamento],$C174,tbLancamentos[Momento da falha],"&gt;="&amp;$C$7,tbLancamentos[Momento da falha],"&lt;="&amp;$D$7)&gt;$E$7,$E$7,SUMIFS(tbLancamentos[Tempo indisponível],tbLancamentos[Equipamento],$C174,tbLancamentos[Momento da falha],"&gt;="&amp;$C$7,tbLancamentos[Momento da falha],"&lt;="&amp;$D$7)),""))</f>
        <v/>
      </c>
      <c r="E174" s="97" t="str">
        <f>IF(C174="","",IFERROR(SUMIFS(tbLancamentos[Meta tempo reparo],tbLancamentos[Equipamento],$C174,tbLancamentos[Momento da falha],"&gt;="&amp;$C$7,tbLancamentos[Momento da falha],"&lt;="&amp;$D$7),""))</f>
        <v/>
      </c>
      <c r="F174" s="97" t="str">
        <f>IF(C174="","",IFERROR(SUMIFS(tbLancamentos[Tempo devido],tbLancamentos[Equipamento],$C174,tbLancamentos[Momento da falha],"&gt;="&amp;$C$7,tbLancamentos[Momento da falha],"&lt;="&amp;$D$7),""))</f>
        <v/>
      </c>
      <c r="G17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4" s="127" t="str">
        <f t="shared" si="4"/>
        <v/>
      </c>
    </row>
    <row r="175" spans="2:9" ht="20.100000000000001" customHeight="1" x14ac:dyDescent="0.25">
      <c r="B175" s="94">
        <f>CadEqu!B171</f>
        <v>165</v>
      </c>
      <c r="C175" s="94" t="str">
        <f>IF(CadEqu!F171="","",CadEqu!F171)</f>
        <v/>
      </c>
      <c r="D175" s="97" t="str">
        <f>IF(C175="","",IFERROR(IF(SUMIFS(tbLancamentos[Tempo indisponível],tbLancamentos[Equipamento],$C175,tbLancamentos[Momento da falha],"&gt;="&amp;$C$7,tbLancamentos[Momento da falha],"&lt;="&amp;$D$7)&gt;$E$7,$E$7,SUMIFS(tbLancamentos[Tempo indisponível],tbLancamentos[Equipamento],$C175,tbLancamentos[Momento da falha],"&gt;="&amp;$C$7,tbLancamentos[Momento da falha],"&lt;="&amp;$D$7)),""))</f>
        <v/>
      </c>
      <c r="E175" s="97" t="str">
        <f>IF(C175="","",IFERROR(SUMIFS(tbLancamentos[Meta tempo reparo],tbLancamentos[Equipamento],$C175,tbLancamentos[Momento da falha],"&gt;="&amp;$C$7,tbLancamentos[Momento da falha],"&lt;="&amp;$D$7),""))</f>
        <v/>
      </c>
      <c r="F175" s="97" t="str">
        <f>IF(C175="","",IFERROR(SUMIFS(tbLancamentos[Tempo devido],tbLancamentos[Equipamento],$C175,tbLancamentos[Momento da falha],"&gt;="&amp;$C$7,tbLancamentos[Momento da falha],"&lt;="&amp;$D$7),""))</f>
        <v/>
      </c>
      <c r="G17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5" s="127" t="str">
        <f t="shared" si="4"/>
        <v/>
      </c>
    </row>
    <row r="176" spans="2:9" ht="20.100000000000001" customHeight="1" x14ac:dyDescent="0.25">
      <c r="B176" s="94">
        <f>CadEqu!B172</f>
        <v>166</v>
      </c>
      <c r="C176" s="94" t="str">
        <f>IF(CadEqu!F172="","",CadEqu!F172)</f>
        <v/>
      </c>
      <c r="D176" s="97" t="str">
        <f>IF(C176="","",IFERROR(IF(SUMIFS(tbLancamentos[Tempo indisponível],tbLancamentos[Equipamento],$C176,tbLancamentos[Momento da falha],"&gt;="&amp;$C$7,tbLancamentos[Momento da falha],"&lt;="&amp;$D$7)&gt;$E$7,$E$7,SUMIFS(tbLancamentos[Tempo indisponível],tbLancamentos[Equipamento],$C176,tbLancamentos[Momento da falha],"&gt;="&amp;$C$7,tbLancamentos[Momento da falha],"&lt;="&amp;$D$7)),""))</f>
        <v/>
      </c>
      <c r="E176" s="97" t="str">
        <f>IF(C176="","",IFERROR(SUMIFS(tbLancamentos[Meta tempo reparo],tbLancamentos[Equipamento],$C176,tbLancamentos[Momento da falha],"&gt;="&amp;$C$7,tbLancamentos[Momento da falha],"&lt;="&amp;$D$7),""))</f>
        <v/>
      </c>
      <c r="F176" s="97" t="str">
        <f>IF(C176="","",IFERROR(SUMIFS(tbLancamentos[Tempo devido],tbLancamentos[Equipamento],$C176,tbLancamentos[Momento da falha],"&gt;="&amp;$C$7,tbLancamentos[Momento da falha],"&lt;="&amp;$D$7),""))</f>
        <v/>
      </c>
      <c r="G17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6" s="127" t="str">
        <f t="shared" si="4"/>
        <v/>
      </c>
    </row>
    <row r="177" spans="2:9" ht="20.100000000000001" customHeight="1" x14ac:dyDescent="0.25">
      <c r="B177" s="94">
        <f>CadEqu!B173</f>
        <v>167</v>
      </c>
      <c r="C177" s="94" t="str">
        <f>IF(CadEqu!F173="","",CadEqu!F173)</f>
        <v/>
      </c>
      <c r="D177" s="97" t="str">
        <f>IF(C177="","",IFERROR(IF(SUMIFS(tbLancamentos[Tempo indisponível],tbLancamentos[Equipamento],$C177,tbLancamentos[Momento da falha],"&gt;="&amp;$C$7,tbLancamentos[Momento da falha],"&lt;="&amp;$D$7)&gt;$E$7,$E$7,SUMIFS(tbLancamentos[Tempo indisponível],tbLancamentos[Equipamento],$C177,tbLancamentos[Momento da falha],"&gt;="&amp;$C$7,tbLancamentos[Momento da falha],"&lt;="&amp;$D$7)),""))</f>
        <v/>
      </c>
      <c r="E177" s="97" t="str">
        <f>IF(C177="","",IFERROR(SUMIFS(tbLancamentos[Meta tempo reparo],tbLancamentos[Equipamento],$C177,tbLancamentos[Momento da falha],"&gt;="&amp;$C$7,tbLancamentos[Momento da falha],"&lt;="&amp;$D$7),""))</f>
        <v/>
      </c>
      <c r="F177" s="97" t="str">
        <f>IF(C177="","",IFERROR(SUMIFS(tbLancamentos[Tempo devido],tbLancamentos[Equipamento],$C177,tbLancamentos[Momento da falha],"&gt;="&amp;$C$7,tbLancamentos[Momento da falha],"&lt;="&amp;$D$7),""))</f>
        <v/>
      </c>
      <c r="G17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7" s="127" t="str">
        <f t="shared" si="4"/>
        <v/>
      </c>
    </row>
    <row r="178" spans="2:9" ht="20.100000000000001" customHeight="1" x14ac:dyDescent="0.25">
      <c r="B178" s="94">
        <f>CadEqu!B174</f>
        <v>168</v>
      </c>
      <c r="C178" s="94" t="str">
        <f>IF(CadEqu!F174="","",CadEqu!F174)</f>
        <v/>
      </c>
      <c r="D178" s="97" t="str">
        <f>IF(C178="","",IFERROR(IF(SUMIFS(tbLancamentos[Tempo indisponível],tbLancamentos[Equipamento],$C178,tbLancamentos[Momento da falha],"&gt;="&amp;$C$7,tbLancamentos[Momento da falha],"&lt;="&amp;$D$7)&gt;$E$7,$E$7,SUMIFS(tbLancamentos[Tempo indisponível],tbLancamentos[Equipamento],$C178,tbLancamentos[Momento da falha],"&gt;="&amp;$C$7,tbLancamentos[Momento da falha],"&lt;="&amp;$D$7)),""))</f>
        <v/>
      </c>
      <c r="E178" s="97" t="str">
        <f>IF(C178="","",IFERROR(SUMIFS(tbLancamentos[Meta tempo reparo],tbLancamentos[Equipamento],$C178,tbLancamentos[Momento da falha],"&gt;="&amp;$C$7,tbLancamentos[Momento da falha],"&lt;="&amp;$D$7),""))</f>
        <v/>
      </c>
      <c r="F178" s="97" t="str">
        <f>IF(C178="","",IFERROR(SUMIFS(tbLancamentos[Tempo devido],tbLancamentos[Equipamento],$C178,tbLancamentos[Momento da falha],"&gt;="&amp;$C$7,tbLancamentos[Momento da falha],"&lt;="&amp;$D$7),""))</f>
        <v/>
      </c>
      <c r="G17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8" s="127" t="str">
        <f t="shared" si="4"/>
        <v/>
      </c>
    </row>
    <row r="179" spans="2:9" ht="20.100000000000001" customHeight="1" x14ac:dyDescent="0.25">
      <c r="B179" s="94">
        <f>CadEqu!B175</f>
        <v>169</v>
      </c>
      <c r="C179" s="94" t="str">
        <f>IF(CadEqu!F175="","",CadEqu!F175)</f>
        <v/>
      </c>
      <c r="D179" s="97" t="str">
        <f>IF(C179="","",IFERROR(IF(SUMIFS(tbLancamentos[Tempo indisponível],tbLancamentos[Equipamento],$C179,tbLancamentos[Momento da falha],"&gt;="&amp;$C$7,tbLancamentos[Momento da falha],"&lt;="&amp;$D$7)&gt;$E$7,$E$7,SUMIFS(tbLancamentos[Tempo indisponível],tbLancamentos[Equipamento],$C179,tbLancamentos[Momento da falha],"&gt;="&amp;$C$7,tbLancamentos[Momento da falha],"&lt;="&amp;$D$7)),""))</f>
        <v/>
      </c>
      <c r="E179" s="97" t="str">
        <f>IF(C179="","",IFERROR(SUMIFS(tbLancamentos[Meta tempo reparo],tbLancamentos[Equipamento],$C179,tbLancamentos[Momento da falha],"&gt;="&amp;$C$7,tbLancamentos[Momento da falha],"&lt;="&amp;$D$7),""))</f>
        <v/>
      </c>
      <c r="F179" s="97" t="str">
        <f>IF(C179="","",IFERROR(SUMIFS(tbLancamentos[Tempo devido],tbLancamentos[Equipamento],$C179,tbLancamentos[Momento da falha],"&gt;="&amp;$C$7,tbLancamentos[Momento da falha],"&lt;="&amp;$D$7),""))</f>
        <v/>
      </c>
      <c r="G17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7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79" s="127" t="str">
        <f t="shared" si="4"/>
        <v/>
      </c>
    </row>
    <row r="180" spans="2:9" ht="20.100000000000001" customHeight="1" x14ac:dyDescent="0.25">
      <c r="B180" s="94">
        <f>CadEqu!B176</f>
        <v>170</v>
      </c>
      <c r="C180" s="94" t="str">
        <f>IF(CadEqu!F176="","",CadEqu!F176)</f>
        <v/>
      </c>
      <c r="D180" s="97" t="str">
        <f>IF(C180="","",IFERROR(IF(SUMIFS(tbLancamentos[Tempo indisponível],tbLancamentos[Equipamento],$C180,tbLancamentos[Momento da falha],"&gt;="&amp;$C$7,tbLancamentos[Momento da falha],"&lt;="&amp;$D$7)&gt;$E$7,$E$7,SUMIFS(tbLancamentos[Tempo indisponível],tbLancamentos[Equipamento],$C180,tbLancamentos[Momento da falha],"&gt;="&amp;$C$7,tbLancamentos[Momento da falha],"&lt;="&amp;$D$7)),""))</f>
        <v/>
      </c>
      <c r="E180" s="97" t="str">
        <f>IF(C180="","",IFERROR(SUMIFS(tbLancamentos[Meta tempo reparo],tbLancamentos[Equipamento],$C180,tbLancamentos[Momento da falha],"&gt;="&amp;$C$7,tbLancamentos[Momento da falha],"&lt;="&amp;$D$7),""))</f>
        <v/>
      </c>
      <c r="F180" s="97" t="str">
        <f>IF(C180="","",IFERROR(SUMIFS(tbLancamentos[Tempo devido],tbLancamentos[Equipamento],$C180,tbLancamentos[Momento da falha],"&gt;="&amp;$C$7,tbLancamentos[Momento da falha],"&lt;="&amp;$D$7),""))</f>
        <v/>
      </c>
      <c r="G18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0" s="127" t="str">
        <f t="shared" si="4"/>
        <v/>
      </c>
    </row>
    <row r="181" spans="2:9" ht="20.100000000000001" customHeight="1" x14ac:dyDescent="0.25">
      <c r="B181" s="94">
        <f>CadEqu!B177</f>
        <v>171</v>
      </c>
      <c r="C181" s="94" t="str">
        <f>IF(CadEqu!F177="","",CadEqu!F177)</f>
        <v/>
      </c>
      <c r="D181" s="97" t="str">
        <f>IF(C181="","",IFERROR(IF(SUMIFS(tbLancamentos[Tempo indisponível],tbLancamentos[Equipamento],$C181,tbLancamentos[Momento da falha],"&gt;="&amp;$C$7,tbLancamentos[Momento da falha],"&lt;="&amp;$D$7)&gt;$E$7,$E$7,SUMIFS(tbLancamentos[Tempo indisponível],tbLancamentos[Equipamento],$C181,tbLancamentos[Momento da falha],"&gt;="&amp;$C$7,tbLancamentos[Momento da falha],"&lt;="&amp;$D$7)),""))</f>
        <v/>
      </c>
      <c r="E181" s="97" t="str">
        <f>IF(C181="","",IFERROR(SUMIFS(tbLancamentos[Meta tempo reparo],tbLancamentos[Equipamento],$C181,tbLancamentos[Momento da falha],"&gt;="&amp;$C$7,tbLancamentos[Momento da falha],"&lt;="&amp;$D$7),""))</f>
        <v/>
      </c>
      <c r="F181" s="97" t="str">
        <f>IF(C181="","",IFERROR(SUMIFS(tbLancamentos[Tempo devido],tbLancamentos[Equipamento],$C181,tbLancamentos[Momento da falha],"&gt;="&amp;$C$7,tbLancamentos[Momento da falha],"&lt;="&amp;$D$7),""))</f>
        <v/>
      </c>
      <c r="G18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1" s="127" t="str">
        <f t="shared" si="4"/>
        <v/>
      </c>
    </row>
    <row r="182" spans="2:9" ht="20.100000000000001" customHeight="1" x14ac:dyDescent="0.25">
      <c r="B182" s="94">
        <f>CadEqu!B178</f>
        <v>172</v>
      </c>
      <c r="C182" s="94" t="str">
        <f>IF(CadEqu!F178="","",CadEqu!F178)</f>
        <v/>
      </c>
      <c r="D182" s="97" t="str">
        <f>IF(C182="","",IFERROR(IF(SUMIFS(tbLancamentos[Tempo indisponível],tbLancamentos[Equipamento],$C182,tbLancamentos[Momento da falha],"&gt;="&amp;$C$7,tbLancamentos[Momento da falha],"&lt;="&amp;$D$7)&gt;$E$7,$E$7,SUMIFS(tbLancamentos[Tempo indisponível],tbLancamentos[Equipamento],$C182,tbLancamentos[Momento da falha],"&gt;="&amp;$C$7,tbLancamentos[Momento da falha],"&lt;="&amp;$D$7)),""))</f>
        <v/>
      </c>
      <c r="E182" s="97" t="str">
        <f>IF(C182="","",IFERROR(SUMIFS(tbLancamentos[Meta tempo reparo],tbLancamentos[Equipamento],$C182,tbLancamentos[Momento da falha],"&gt;="&amp;$C$7,tbLancamentos[Momento da falha],"&lt;="&amp;$D$7),""))</f>
        <v/>
      </c>
      <c r="F182" s="97" t="str">
        <f>IF(C182="","",IFERROR(SUMIFS(tbLancamentos[Tempo devido],tbLancamentos[Equipamento],$C182,tbLancamentos[Momento da falha],"&gt;="&amp;$C$7,tbLancamentos[Momento da falha],"&lt;="&amp;$D$7),""))</f>
        <v/>
      </c>
      <c r="G18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2" s="127" t="str">
        <f t="shared" si="4"/>
        <v/>
      </c>
    </row>
    <row r="183" spans="2:9" ht="20.100000000000001" customHeight="1" x14ac:dyDescent="0.25">
      <c r="B183" s="94">
        <f>CadEqu!B179</f>
        <v>173</v>
      </c>
      <c r="C183" s="94" t="str">
        <f>IF(CadEqu!F179="","",CadEqu!F179)</f>
        <v/>
      </c>
      <c r="D183" s="97" t="str">
        <f>IF(C183="","",IFERROR(IF(SUMIFS(tbLancamentos[Tempo indisponível],tbLancamentos[Equipamento],$C183,tbLancamentos[Momento da falha],"&gt;="&amp;$C$7,tbLancamentos[Momento da falha],"&lt;="&amp;$D$7)&gt;$E$7,$E$7,SUMIFS(tbLancamentos[Tempo indisponível],tbLancamentos[Equipamento],$C183,tbLancamentos[Momento da falha],"&gt;="&amp;$C$7,tbLancamentos[Momento da falha],"&lt;="&amp;$D$7)),""))</f>
        <v/>
      </c>
      <c r="E183" s="97" t="str">
        <f>IF(C183="","",IFERROR(SUMIFS(tbLancamentos[Meta tempo reparo],tbLancamentos[Equipamento],$C183,tbLancamentos[Momento da falha],"&gt;="&amp;$C$7,tbLancamentos[Momento da falha],"&lt;="&amp;$D$7),""))</f>
        <v/>
      </c>
      <c r="F183" s="97" t="str">
        <f>IF(C183="","",IFERROR(SUMIFS(tbLancamentos[Tempo devido],tbLancamentos[Equipamento],$C183,tbLancamentos[Momento da falha],"&gt;="&amp;$C$7,tbLancamentos[Momento da falha],"&lt;="&amp;$D$7),""))</f>
        <v/>
      </c>
      <c r="G18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3" s="127" t="str">
        <f t="shared" si="4"/>
        <v/>
      </c>
    </row>
    <row r="184" spans="2:9" ht="20.100000000000001" customHeight="1" x14ac:dyDescent="0.25">
      <c r="B184" s="94">
        <f>CadEqu!B180</f>
        <v>174</v>
      </c>
      <c r="C184" s="94" t="str">
        <f>IF(CadEqu!F180="","",CadEqu!F180)</f>
        <v/>
      </c>
      <c r="D184" s="97" t="str">
        <f>IF(C184="","",IFERROR(IF(SUMIFS(tbLancamentos[Tempo indisponível],tbLancamentos[Equipamento],$C184,tbLancamentos[Momento da falha],"&gt;="&amp;$C$7,tbLancamentos[Momento da falha],"&lt;="&amp;$D$7)&gt;$E$7,$E$7,SUMIFS(tbLancamentos[Tempo indisponível],tbLancamentos[Equipamento],$C184,tbLancamentos[Momento da falha],"&gt;="&amp;$C$7,tbLancamentos[Momento da falha],"&lt;="&amp;$D$7)),""))</f>
        <v/>
      </c>
      <c r="E184" s="97" t="str">
        <f>IF(C184="","",IFERROR(SUMIFS(tbLancamentos[Meta tempo reparo],tbLancamentos[Equipamento],$C184,tbLancamentos[Momento da falha],"&gt;="&amp;$C$7,tbLancamentos[Momento da falha],"&lt;="&amp;$D$7),""))</f>
        <v/>
      </c>
      <c r="F184" s="97" t="str">
        <f>IF(C184="","",IFERROR(SUMIFS(tbLancamentos[Tempo devido],tbLancamentos[Equipamento],$C184,tbLancamentos[Momento da falha],"&gt;="&amp;$C$7,tbLancamentos[Momento da falha],"&lt;="&amp;$D$7),""))</f>
        <v/>
      </c>
      <c r="G18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4" s="127" t="str">
        <f t="shared" si="4"/>
        <v/>
      </c>
    </row>
    <row r="185" spans="2:9" ht="20.100000000000001" customHeight="1" x14ac:dyDescent="0.25">
      <c r="B185" s="94">
        <f>CadEqu!B181</f>
        <v>175</v>
      </c>
      <c r="C185" s="94" t="str">
        <f>IF(CadEqu!F181="","",CadEqu!F181)</f>
        <v/>
      </c>
      <c r="D185" s="97" t="str">
        <f>IF(C185="","",IFERROR(IF(SUMIFS(tbLancamentos[Tempo indisponível],tbLancamentos[Equipamento],$C185,tbLancamentos[Momento da falha],"&gt;="&amp;$C$7,tbLancamentos[Momento da falha],"&lt;="&amp;$D$7)&gt;$E$7,$E$7,SUMIFS(tbLancamentos[Tempo indisponível],tbLancamentos[Equipamento],$C185,tbLancamentos[Momento da falha],"&gt;="&amp;$C$7,tbLancamentos[Momento da falha],"&lt;="&amp;$D$7)),""))</f>
        <v/>
      </c>
      <c r="E185" s="97" t="str">
        <f>IF(C185="","",IFERROR(SUMIFS(tbLancamentos[Meta tempo reparo],tbLancamentos[Equipamento],$C185,tbLancamentos[Momento da falha],"&gt;="&amp;$C$7,tbLancamentos[Momento da falha],"&lt;="&amp;$D$7),""))</f>
        <v/>
      </c>
      <c r="F185" s="97" t="str">
        <f>IF(C185="","",IFERROR(SUMIFS(tbLancamentos[Tempo devido],tbLancamentos[Equipamento],$C185,tbLancamentos[Momento da falha],"&gt;="&amp;$C$7,tbLancamentos[Momento da falha],"&lt;="&amp;$D$7),""))</f>
        <v/>
      </c>
      <c r="G18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5" s="127" t="str">
        <f t="shared" si="4"/>
        <v/>
      </c>
    </row>
    <row r="186" spans="2:9" ht="20.100000000000001" customHeight="1" x14ac:dyDescent="0.25">
      <c r="B186" s="94">
        <f>CadEqu!B182</f>
        <v>176</v>
      </c>
      <c r="C186" s="94" t="str">
        <f>IF(CadEqu!F182="","",CadEqu!F182)</f>
        <v/>
      </c>
      <c r="D186" s="97" t="str">
        <f>IF(C186="","",IFERROR(IF(SUMIFS(tbLancamentos[Tempo indisponível],tbLancamentos[Equipamento],$C186,tbLancamentos[Momento da falha],"&gt;="&amp;$C$7,tbLancamentos[Momento da falha],"&lt;="&amp;$D$7)&gt;$E$7,$E$7,SUMIFS(tbLancamentos[Tempo indisponível],tbLancamentos[Equipamento],$C186,tbLancamentos[Momento da falha],"&gt;="&amp;$C$7,tbLancamentos[Momento da falha],"&lt;="&amp;$D$7)),""))</f>
        <v/>
      </c>
      <c r="E186" s="97" t="str">
        <f>IF(C186="","",IFERROR(SUMIFS(tbLancamentos[Meta tempo reparo],tbLancamentos[Equipamento],$C186,tbLancamentos[Momento da falha],"&gt;="&amp;$C$7,tbLancamentos[Momento da falha],"&lt;="&amp;$D$7),""))</f>
        <v/>
      </c>
      <c r="F186" s="97" t="str">
        <f>IF(C186="","",IFERROR(SUMIFS(tbLancamentos[Tempo devido],tbLancamentos[Equipamento],$C186,tbLancamentos[Momento da falha],"&gt;="&amp;$C$7,tbLancamentos[Momento da falha],"&lt;="&amp;$D$7),""))</f>
        <v/>
      </c>
      <c r="G18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6" s="127" t="str">
        <f t="shared" si="4"/>
        <v/>
      </c>
    </row>
    <row r="187" spans="2:9" ht="20.100000000000001" customHeight="1" x14ac:dyDescent="0.25">
      <c r="B187" s="94">
        <f>CadEqu!B183</f>
        <v>177</v>
      </c>
      <c r="C187" s="94" t="str">
        <f>IF(CadEqu!F183="","",CadEqu!F183)</f>
        <v/>
      </c>
      <c r="D187" s="97" t="str">
        <f>IF(C187="","",IFERROR(IF(SUMIFS(tbLancamentos[Tempo indisponível],tbLancamentos[Equipamento],$C187,tbLancamentos[Momento da falha],"&gt;="&amp;$C$7,tbLancamentos[Momento da falha],"&lt;="&amp;$D$7)&gt;$E$7,$E$7,SUMIFS(tbLancamentos[Tempo indisponível],tbLancamentos[Equipamento],$C187,tbLancamentos[Momento da falha],"&gt;="&amp;$C$7,tbLancamentos[Momento da falha],"&lt;="&amp;$D$7)),""))</f>
        <v/>
      </c>
      <c r="E187" s="97" t="str">
        <f>IF(C187="","",IFERROR(SUMIFS(tbLancamentos[Meta tempo reparo],tbLancamentos[Equipamento],$C187,tbLancamentos[Momento da falha],"&gt;="&amp;$C$7,tbLancamentos[Momento da falha],"&lt;="&amp;$D$7),""))</f>
        <v/>
      </c>
      <c r="F187" s="97" t="str">
        <f>IF(C187="","",IFERROR(SUMIFS(tbLancamentos[Tempo devido],tbLancamentos[Equipamento],$C187,tbLancamentos[Momento da falha],"&gt;="&amp;$C$7,tbLancamentos[Momento da falha],"&lt;="&amp;$D$7),""))</f>
        <v/>
      </c>
      <c r="G18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7" s="127" t="str">
        <f t="shared" si="4"/>
        <v/>
      </c>
    </row>
    <row r="188" spans="2:9" ht="20.100000000000001" customHeight="1" x14ac:dyDescent="0.25">
      <c r="B188" s="94">
        <f>CadEqu!B184</f>
        <v>178</v>
      </c>
      <c r="C188" s="94" t="str">
        <f>IF(CadEqu!F184="","",CadEqu!F184)</f>
        <v/>
      </c>
      <c r="D188" s="97" t="str">
        <f>IF(C188="","",IFERROR(IF(SUMIFS(tbLancamentos[Tempo indisponível],tbLancamentos[Equipamento],$C188,tbLancamentos[Momento da falha],"&gt;="&amp;$C$7,tbLancamentos[Momento da falha],"&lt;="&amp;$D$7)&gt;$E$7,$E$7,SUMIFS(tbLancamentos[Tempo indisponível],tbLancamentos[Equipamento],$C188,tbLancamentos[Momento da falha],"&gt;="&amp;$C$7,tbLancamentos[Momento da falha],"&lt;="&amp;$D$7)),""))</f>
        <v/>
      </c>
      <c r="E188" s="97" t="str">
        <f>IF(C188="","",IFERROR(SUMIFS(tbLancamentos[Meta tempo reparo],tbLancamentos[Equipamento],$C188,tbLancamentos[Momento da falha],"&gt;="&amp;$C$7,tbLancamentos[Momento da falha],"&lt;="&amp;$D$7),""))</f>
        <v/>
      </c>
      <c r="F188" s="97" t="str">
        <f>IF(C188="","",IFERROR(SUMIFS(tbLancamentos[Tempo devido],tbLancamentos[Equipamento],$C188,tbLancamentos[Momento da falha],"&gt;="&amp;$C$7,tbLancamentos[Momento da falha],"&lt;="&amp;$D$7),""))</f>
        <v/>
      </c>
      <c r="G18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8" s="127" t="str">
        <f t="shared" si="4"/>
        <v/>
      </c>
    </row>
    <row r="189" spans="2:9" ht="20.100000000000001" customHeight="1" x14ac:dyDescent="0.25">
      <c r="B189" s="94">
        <f>CadEqu!B185</f>
        <v>179</v>
      </c>
      <c r="C189" s="94" t="str">
        <f>IF(CadEqu!F185="","",CadEqu!F185)</f>
        <v/>
      </c>
      <c r="D189" s="97" t="str">
        <f>IF(C189="","",IFERROR(IF(SUMIFS(tbLancamentos[Tempo indisponível],tbLancamentos[Equipamento],$C189,tbLancamentos[Momento da falha],"&gt;="&amp;$C$7,tbLancamentos[Momento da falha],"&lt;="&amp;$D$7)&gt;$E$7,$E$7,SUMIFS(tbLancamentos[Tempo indisponível],tbLancamentos[Equipamento],$C189,tbLancamentos[Momento da falha],"&gt;="&amp;$C$7,tbLancamentos[Momento da falha],"&lt;="&amp;$D$7)),""))</f>
        <v/>
      </c>
      <c r="E189" s="97" t="str">
        <f>IF(C189="","",IFERROR(SUMIFS(tbLancamentos[Meta tempo reparo],tbLancamentos[Equipamento],$C189,tbLancamentos[Momento da falha],"&gt;="&amp;$C$7,tbLancamentos[Momento da falha],"&lt;="&amp;$D$7),""))</f>
        <v/>
      </c>
      <c r="F189" s="97" t="str">
        <f>IF(C189="","",IFERROR(SUMIFS(tbLancamentos[Tempo devido],tbLancamentos[Equipamento],$C189,tbLancamentos[Momento da falha],"&gt;="&amp;$C$7,tbLancamentos[Momento da falha],"&lt;="&amp;$D$7),""))</f>
        <v/>
      </c>
      <c r="G18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8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89" s="127" t="str">
        <f t="shared" si="4"/>
        <v/>
      </c>
    </row>
    <row r="190" spans="2:9" ht="20.100000000000001" customHeight="1" x14ac:dyDescent="0.25">
      <c r="B190" s="94">
        <f>CadEqu!B186</f>
        <v>180</v>
      </c>
      <c r="C190" s="94" t="str">
        <f>IF(CadEqu!F186="","",CadEqu!F186)</f>
        <v/>
      </c>
      <c r="D190" s="97" t="str">
        <f>IF(C190="","",IFERROR(IF(SUMIFS(tbLancamentos[Tempo indisponível],tbLancamentos[Equipamento],$C190,tbLancamentos[Momento da falha],"&gt;="&amp;$C$7,tbLancamentos[Momento da falha],"&lt;="&amp;$D$7)&gt;$E$7,$E$7,SUMIFS(tbLancamentos[Tempo indisponível],tbLancamentos[Equipamento],$C190,tbLancamentos[Momento da falha],"&gt;="&amp;$C$7,tbLancamentos[Momento da falha],"&lt;="&amp;$D$7)),""))</f>
        <v/>
      </c>
      <c r="E190" s="97" t="str">
        <f>IF(C190="","",IFERROR(SUMIFS(tbLancamentos[Meta tempo reparo],tbLancamentos[Equipamento],$C190,tbLancamentos[Momento da falha],"&gt;="&amp;$C$7,tbLancamentos[Momento da falha],"&lt;="&amp;$D$7),""))</f>
        <v/>
      </c>
      <c r="F190" s="97" t="str">
        <f>IF(C190="","",IFERROR(SUMIFS(tbLancamentos[Tempo devido],tbLancamentos[Equipamento],$C190,tbLancamentos[Momento da falha],"&gt;="&amp;$C$7,tbLancamentos[Momento da falha],"&lt;="&amp;$D$7),""))</f>
        <v/>
      </c>
      <c r="G19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0" s="127" t="str">
        <f t="shared" si="4"/>
        <v/>
      </c>
    </row>
    <row r="191" spans="2:9" ht="20.100000000000001" customHeight="1" x14ac:dyDescent="0.25">
      <c r="B191" s="94">
        <f>CadEqu!B187</f>
        <v>181</v>
      </c>
      <c r="C191" s="94" t="str">
        <f>IF(CadEqu!F187="","",CadEqu!F187)</f>
        <v/>
      </c>
      <c r="D191" s="97" t="str">
        <f>IF(C191="","",IFERROR(IF(SUMIFS(tbLancamentos[Tempo indisponível],tbLancamentos[Equipamento],$C191,tbLancamentos[Momento da falha],"&gt;="&amp;$C$7,tbLancamentos[Momento da falha],"&lt;="&amp;$D$7)&gt;$E$7,$E$7,SUMIFS(tbLancamentos[Tempo indisponível],tbLancamentos[Equipamento],$C191,tbLancamentos[Momento da falha],"&gt;="&amp;$C$7,tbLancamentos[Momento da falha],"&lt;="&amp;$D$7)),""))</f>
        <v/>
      </c>
      <c r="E191" s="97" t="str">
        <f>IF(C191="","",IFERROR(SUMIFS(tbLancamentos[Meta tempo reparo],tbLancamentos[Equipamento],$C191,tbLancamentos[Momento da falha],"&gt;="&amp;$C$7,tbLancamentos[Momento da falha],"&lt;="&amp;$D$7),""))</f>
        <v/>
      </c>
      <c r="F191" s="97" t="str">
        <f>IF(C191="","",IFERROR(SUMIFS(tbLancamentos[Tempo devido],tbLancamentos[Equipamento],$C191,tbLancamentos[Momento da falha],"&gt;="&amp;$C$7,tbLancamentos[Momento da falha],"&lt;="&amp;$D$7),""))</f>
        <v/>
      </c>
      <c r="G19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1" s="127" t="str">
        <f t="shared" si="4"/>
        <v/>
      </c>
    </row>
    <row r="192" spans="2:9" ht="20.100000000000001" customHeight="1" x14ac:dyDescent="0.25">
      <c r="B192" s="94">
        <f>CadEqu!B188</f>
        <v>182</v>
      </c>
      <c r="C192" s="94" t="str">
        <f>IF(CadEqu!F188="","",CadEqu!F188)</f>
        <v/>
      </c>
      <c r="D192" s="97" t="str">
        <f>IF(C192="","",IFERROR(IF(SUMIFS(tbLancamentos[Tempo indisponível],tbLancamentos[Equipamento],$C192,tbLancamentos[Momento da falha],"&gt;="&amp;$C$7,tbLancamentos[Momento da falha],"&lt;="&amp;$D$7)&gt;$E$7,$E$7,SUMIFS(tbLancamentos[Tempo indisponível],tbLancamentos[Equipamento],$C192,tbLancamentos[Momento da falha],"&gt;="&amp;$C$7,tbLancamentos[Momento da falha],"&lt;="&amp;$D$7)),""))</f>
        <v/>
      </c>
      <c r="E192" s="97" t="str">
        <f>IF(C192="","",IFERROR(SUMIFS(tbLancamentos[Meta tempo reparo],tbLancamentos[Equipamento],$C192,tbLancamentos[Momento da falha],"&gt;="&amp;$C$7,tbLancamentos[Momento da falha],"&lt;="&amp;$D$7),""))</f>
        <v/>
      </c>
      <c r="F192" s="97" t="str">
        <f>IF(C192="","",IFERROR(SUMIFS(tbLancamentos[Tempo devido],tbLancamentos[Equipamento],$C192,tbLancamentos[Momento da falha],"&gt;="&amp;$C$7,tbLancamentos[Momento da falha],"&lt;="&amp;$D$7),""))</f>
        <v/>
      </c>
      <c r="G19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2" s="127" t="str">
        <f t="shared" si="4"/>
        <v/>
      </c>
    </row>
    <row r="193" spans="2:9" ht="20.100000000000001" customHeight="1" x14ac:dyDescent="0.25">
      <c r="B193" s="94">
        <f>CadEqu!B189</f>
        <v>183</v>
      </c>
      <c r="C193" s="94" t="str">
        <f>IF(CadEqu!F189="","",CadEqu!F189)</f>
        <v/>
      </c>
      <c r="D193" s="97" t="str">
        <f>IF(C193="","",IFERROR(IF(SUMIFS(tbLancamentos[Tempo indisponível],tbLancamentos[Equipamento],$C193,tbLancamentos[Momento da falha],"&gt;="&amp;$C$7,tbLancamentos[Momento da falha],"&lt;="&amp;$D$7)&gt;$E$7,$E$7,SUMIFS(tbLancamentos[Tempo indisponível],tbLancamentos[Equipamento],$C193,tbLancamentos[Momento da falha],"&gt;="&amp;$C$7,tbLancamentos[Momento da falha],"&lt;="&amp;$D$7)),""))</f>
        <v/>
      </c>
      <c r="E193" s="97" t="str">
        <f>IF(C193="","",IFERROR(SUMIFS(tbLancamentos[Meta tempo reparo],tbLancamentos[Equipamento],$C193,tbLancamentos[Momento da falha],"&gt;="&amp;$C$7,tbLancamentos[Momento da falha],"&lt;="&amp;$D$7),""))</f>
        <v/>
      </c>
      <c r="F193" s="97" t="str">
        <f>IF(C193="","",IFERROR(SUMIFS(tbLancamentos[Tempo devido],tbLancamentos[Equipamento],$C193,tbLancamentos[Momento da falha],"&gt;="&amp;$C$7,tbLancamentos[Momento da falha],"&lt;="&amp;$D$7),""))</f>
        <v/>
      </c>
      <c r="G19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3" s="127" t="str">
        <f t="shared" si="4"/>
        <v/>
      </c>
    </row>
    <row r="194" spans="2:9" ht="20.100000000000001" customHeight="1" x14ac:dyDescent="0.25">
      <c r="B194" s="94">
        <f>CadEqu!B190</f>
        <v>184</v>
      </c>
      <c r="C194" s="94" t="str">
        <f>IF(CadEqu!F190="","",CadEqu!F190)</f>
        <v/>
      </c>
      <c r="D194" s="97" t="str">
        <f>IF(C194="","",IFERROR(IF(SUMIFS(tbLancamentos[Tempo indisponível],tbLancamentos[Equipamento],$C194,tbLancamentos[Momento da falha],"&gt;="&amp;$C$7,tbLancamentos[Momento da falha],"&lt;="&amp;$D$7)&gt;$E$7,$E$7,SUMIFS(tbLancamentos[Tempo indisponível],tbLancamentos[Equipamento],$C194,tbLancamentos[Momento da falha],"&gt;="&amp;$C$7,tbLancamentos[Momento da falha],"&lt;="&amp;$D$7)),""))</f>
        <v/>
      </c>
      <c r="E194" s="97" t="str">
        <f>IF(C194="","",IFERROR(SUMIFS(tbLancamentos[Meta tempo reparo],tbLancamentos[Equipamento],$C194,tbLancamentos[Momento da falha],"&gt;="&amp;$C$7,tbLancamentos[Momento da falha],"&lt;="&amp;$D$7),""))</f>
        <v/>
      </c>
      <c r="F194" s="97" t="str">
        <f>IF(C194="","",IFERROR(SUMIFS(tbLancamentos[Tempo devido],tbLancamentos[Equipamento],$C194,tbLancamentos[Momento da falha],"&gt;="&amp;$C$7,tbLancamentos[Momento da falha],"&lt;="&amp;$D$7),""))</f>
        <v/>
      </c>
      <c r="G19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4" s="127" t="str">
        <f t="shared" si="4"/>
        <v/>
      </c>
    </row>
    <row r="195" spans="2:9" ht="20.100000000000001" customHeight="1" x14ac:dyDescent="0.25">
      <c r="B195" s="94">
        <f>CadEqu!B191</f>
        <v>185</v>
      </c>
      <c r="C195" s="94" t="str">
        <f>IF(CadEqu!F191="","",CadEqu!F191)</f>
        <v/>
      </c>
      <c r="D195" s="97" t="str">
        <f>IF(C195="","",IFERROR(IF(SUMIFS(tbLancamentos[Tempo indisponível],tbLancamentos[Equipamento],$C195,tbLancamentos[Momento da falha],"&gt;="&amp;$C$7,tbLancamentos[Momento da falha],"&lt;="&amp;$D$7)&gt;$E$7,$E$7,SUMIFS(tbLancamentos[Tempo indisponível],tbLancamentos[Equipamento],$C195,tbLancamentos[Momento da falha],"&gt;="&amp;$C$7,tbLancamentos[Momento da falha],"&lt;="&amp;$D$7)),""))</f>
        <v/>
      </c>
      <c r="E195" s="97" t="str">
        <f>IF(C195="","",IFERROR(SUMIFS(tbLancamentos[Meta tempo reparo],tbLancamentos[Equipamento],$C195,tbLancamentos[Momento da falha],"&gt;="&amp;$C$7,tbLancamentos[Momento da falha],"&lt;="&amp;$D$7),""))</f>
        <v/>
      </c>
      <c r="F195" s="97" t="str">
        <f>IF(C195="","",IFERROR(SUMIFS(tbLancamentos[Tempo devido],tbLancamentos[Equipamento],$C195,tbLancamentos[Momento da falha],"&gt;="&amp;$C$7,tbLancamentos[Momento da falha],"&lt;="&amp;$D$7),""))</f>
        <v/>
      </c>
      <c r="G19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5" s="127" t="str">
        <f t="shared" si="4"/>
        <v/>
      </c>
    </row>
    <row r="196" spans="2:9" ht="20.100000000000001" customHeight="1" x14ac:dyDescent="0.25">
      <c r="B196" s="94">
        <f>CadEqu!B192</f>
        <v>186</v>
      </c>
      <c r="C196" s="94" t="str">
        <f>IF(CadEqu!F192="","",CadEqu!F192)</f>
        <v/>
      </c>
      <c r="D196" s="97" t="str">
        <f>IF(C196="","",IFERROR(IF(SUMIFS(tbLancamentos[Tempo indisponível],tbLancamentos[Equipamento],$C196,tbLancamentos[Momento da falha],"&gt;="&amp;$C$7,tbLancamentos[Momento da falha],"&lt;="&amp;$D$7)&gt;$E$7,$E$7,SUMIFS(tbLancamentos[Tempo indisponível],tbLancamentos[Equipamento],$C196,tbLancamentos[Momento da falha],"&gt;="&amp;$C$7,tbLancamentos[Momento da falha],"&lt;="&amp;$D$7)),""))</f>
        <v/>
      </c>
      <c r="E196" s="97" t="str">
        <f>IF(C196="","",IFERROR(SUMIFS(tbLancamentos[Meta tempo reparo],tbLancamentos[Equipamento],$C196,tbLancamentos[Momento da falha],"&gt;="&amp;$C$7,tbLancamentos[Momento da falha],"&lt;="&amp;$D$7),""))</f>
        <v/>
      </c>
      <c r="F196" s="97" t="str">
        <f>IF(C196="","",IFERROR(SUMIFS(tbLancamentos[Tempo devido],tbLancamentos[Equipamento],$C196,tbLancamentos[Momento da falha],"&gt;="&amp;$C$7,tbLancamentos[Momento da falha],"&lt;="&amp;$D$7),""))</f>
        <v/>
      </c>
      <c r="G19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6" s="127" t="str">
        <f t="shared" si="4"/>
        <v/>
      </c>
    </row>
    <row r="197" spans="2:9" ht="20.100000000000001" customHeight="1" x14ac:dyDescent="0.25">
      <c r="B197" s="94">
        <f>CadEqu!B193</f>
        <v>187</v>
      </c>
      <c r="C197" s="94" t="str">
        <f>IF(CadEqu!F193="","",CadEqu!F193)</f>
        <v/>
      </c>
      <c r="D197" s="97" t="str">
        <f>IF(C197="","",IFERROR(IF(SUMIFS(tbLancamentos[Tempo indisponível],tbLancamentos[Equipamento],$C197,tbLancamentos[Momento da falha],"&gt;="&amp;$C$7,tbLancamentos[Momento da falha],"&lt;="&amp;$D$7)&gt;$E$7,$E$7,SUMIFS(tbLancamentos[Tempo indisponível],tbLancamentos[Equipamento],$C197,tbLancamentos[Momento da falha],"&gt;="&amp;$C$7,tbLancamentos[Momento da falha],"&lt;="&amp;$D$7)),""))</f>
        <v/>
      </c>
      <c r="E197" s="97" t="str">
        <f>IF(C197="","",IFERROR(SUMIFS(tbLancamentos[Meta tempo reparo],tbLancamentos[Equipamento],$C197,tbLancamentos[Momento da falha],"&gt;="&amp;$C$7,tbLancamentos[Momento da falha],"&lt;="&amp;$D$7),""))</f>
        <v/>
      </c>
      <c r="F197" s="97" t="str">
        <f>IF(C197="","",IFERROR(SUMIFS(tbLancamentos[Tempo devido],tbLancamentos[Equipamento],$C197,tbLancamentos[Momento da falha],"&gt;="&amp;$C$7,tbLancamentos[Momento da falha],"&lt;="&amp;$D$7),""))</f>
        <v/>
      </c>
      <c r="G19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7" s="127" t="str">
        <f t="shared" si="4"/>
        <v/>
      </c>
    </row>
    <row r="198" spans="2:9" ht="20.100000000000001" customHeight="1" x14ac:dyDescent="0.25">
      <c r="B198" s="94">
        <f>CadEqu!B194</f>
        <v>188</v>
      </c>
      <c r="C198" s="94" t="str">
        <f>IF(CadEqu!F194="","",CadEqu!F194)</f>
        <v/>
      </c>
      <c r="D198" s="97" t="str">
        <f>IF(C198="","",IFERROR(IF(SUMIFS(tbLancamentos[Tempo indisponível],tbLancamentos[Equipamento],$C198,tbLancamentos[Momento da falha],"&gt;="&amp;$C$7,tbLancamentos[Momento da falha],"&lt;="&amp;$D$7)&gt;$E$7,$E$7,SUMIFS(tbLancamentos[Tempo indisponível],tbLancamentos[Equipamento],$C198,tbLancamentos[Momento da falha],"&gt;="&amp;$C$7,tbLancamentos[Momento da falha],"&lt;="&amp;$D$7)),""))</f>
        <v/>
      </c>
      <c r="E198" s="97" t="str">
        <f>IF(C198="","",IFERROR(SUMIFS(tbLancamentos[Meta tempo reparo],tbLancamentos[Equipamento],$C198,tbLancamentos[Momento da falha],"&gt;="&amp;$C$7,tbLancamentos[Momento da falha],"&lt;="&amp;$D$7),""))</f>
        <v/>
      </c>
      <c r="F198" s="97" t="str">
        <f>IF(C198="","",IFERROR(SUMIFS(tbLancamentos[Tempo devido],tbLancamentos[Equipamento],$C198,tbLancamentos[Momento da falha],"&gt;="&amp;$C$7,tbLancamentos[Momento da falha],"&lt;="&amp;$D$7),""))</f>
        <v/>
      </c>
      <c r="G19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8" s="127" t="str">
        <f t="shared" si="4"/>
        <v/>
      </c>
    </row>
    <row r="199" spans="2:9" ht="20.100000000000001" customHeight="1" x14ac:dyDescent="0.25">
      <c r="B199" s="94">
        <f>CadEqu!B195</f>
        <v>189</v>
      </c>
      <c r="C199" s="94" t="str">
        <f>IF(CadEqu!F195="","",CadEqu!F195)</f>
        <v/>
      </c>
      <c r="D199" s="97" t="str">
        <f>IF(C199="","",IFERROR(IF(SUMIFS(tbLancamentos[Tempo indisponível],tbLancamentos[Equipamento],$C199,tbLancamentos[Momento da falha],"&gt;="&amp;$C$7,tbLancamentos[Momento da falha],"&lt;="&amp;$D$7)&gt;$E$7,$E$7,SUMIFS(tbLancamentos[Tempo indisponível],tbLancamentos[Equipamento],$C199,tbLancamentos[Momento da falha],"&gt;="&amp;$C$7,tbLancamentos[Momento da falha],"&lt;="&amp;$D$7)),""))</f>
        <v/>
      </c>
      <c r="E199" s="97" t="str">
        <f>IF(C199="","",IFERROR(SUMIFS(tbLancamentos[Meta tempo reparo],tbLancamentos[Equipamento],$C199,tbLancamentos[Momento da falha],"&gt;="&amp;$C$7,tbLancamentos[Momento da falha],"&lt;="&amp;$D$7),""))</f>
        <v/>
      </c>
      <c r="F199" s="97" t="str">
        <f>IF(C199="","",IFERROR(SUMIFS(tbLancamentos[Tempo devido],tbLancamentos[Equipamento],$C199,tbLancamentos[Momento da falha],"&gt;="&amp;$C$7,tbLancamentos[Momento da falha],"&lt;="&amp;$D$7),""))</f>
        <v/>
      </c>
      <c r="G19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19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199" s="127" t="str">
        <f t="shared" si="4"/>
        <v/>
      </c>
    </row>
    <row r="200" spans="2:9" ht="20.100000000000001" customHeight="1" x14ac:dyDescent="0.25">
      <c r="B200" s="94">
        <f>CadEqu!B196</f>
        <v>190</v>
      </c>
      <c r="C200" s="94" t="str">
        <f>IF(CadEqu!F196="","",CadEqu!F196)</f>
        <v/>
      </c>
      <c r="D200" s="97" t="str">
        <f>IF(C200="","",IFERROR(IF(SUMIFS(tbLancamentos[Tempo indisponível],tbLancamentos[Equipamento],$C200,tbLancamentos[Momento da falha],"&gt;="&amp;$C$7,tbLancamentos[Momento da falha],"&lt;="&amp;$D$7)&gt;$E$7,$E$7,SUMIFS(tbLancamentos[Tempo indisponível],tbLancamentos[Equipamento],$C200,tbLancamentos[Momento da falha],"&gt;="&amp;$C$7,tbLancamentos[Momento da falha],"&lt;="&amp;$D$7)),""))</f>
        <v/>
      </c>
      <c r="E200" s="97" t="str">
        <f>IF(C200="","",IFERROR(SUMIFS(tbLancamentos[Meta tempo reparo],tbLancamentos[Equipamento],$C200,tbLancamentos[Momento da falha],"&gt;="&amp;$C$7,tbLancamentos[Momento da falha],"&lt;="&amp;$D$7),""))</f>
        <v/>
      </c>
      <c r="F200" s="97" t="str">
        <f>IF(C200="","",IFERROR(SUMIFS(tbLancamentos[Tempo devido],tbLancamentos[Equipamento],$C200,tbLancamentos[Momento da falha],"&gt;="&amp;$C$7,tbLancamentos[Momento da falha],"&lt;="&amp;$D$7),""))</f>
        <v/>
      </c>
      <c r="G20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0" s="127" t="str">
        <f t="shared" si="4"/>
        <v/>
      </c>
    </row>
    <row r="201" spans="2:9" ht="20.100000000000001" customHeight="1" x14ac:dyDescent="0.25">
      <c r="B201" s="94">
        <f>CadEqu!B197</f>
        <v>191</v>
      </c>
      <c r="C201" s="94" t="str">
        <f>IF(CadEqu!F197="","",CadEqu!F197)</f>
        <v/>
      </c>
      <c r="D201" s="97" t="str">
        <f>IF(C201="","",IFERROR(IF(SUMIFS(tbLancamentos[Tempo indisponível],tbLancamentos[Equipamento],$C201,tbLancamentos[Momento da falha],"&gt;="&amp;$C$7,tbLancamentos[Momento da falha],"&lt;="&amp;$D$7)&gt;$E$7,$E$7,SUMIFS(tbLancamentos[Tempo indisponível],tbLancamentos[Equipamento],$C201,tbLancamentos[Momento da falha],"&gt;="&amp;$C$7,tbLancamentos[Momento da falha],"&lt;="&amp;$D$7)),""))</f>
        <v/>
      </c>
      <c r="E201" s="97" t="str">
        <f>IF(C201="","",IFERROR(SUMIFS(tbLancamentos[Meta tempo reparo],tbLancamentos[Equipamento],$C201,tbLancamentos[Momento da falha],"&gt;="&amp;$C$7,tbLancamentos[Momento da falha],"&lt;="&amp;$D$7),""))</f>
        <v/>
      </c>
      <c r="F201" s="97" t="str">
        <f>IF(C201="","",IFERROR(SUMIFS(tbLancamentos[Tempo devido],tbLancamentos[Equipamento],$C201,tbLancamentos[Momento da falha],"&gt;="&amp;$C$7,tbLancamentos[Momento da falha],"&lt;="&amp;$D$7),""))</f>
        <v/>
      </c>
      <c r="G20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1" s="127" t="str">
        <f t="shared" si="4"/>
        <v/>
      </c>
    </row>
    <row r="202" spans="2:9" ht="20.100000000000001" customHeight="1" x14ac:dyDescent="0.25">
      <c r="B202" s="94">
        <f>CadEqu!B198</f>
        <v>192</v>
      </c>
      <c r="C202" s="94" t="str">
        <f>IF(CadEqu!F198="","",CadEqu!F198)</f>
        <v/>
      </c>
      <c r="D202" s="97" t="str">
        <f>IF(C202="","",IFERROR(IF(SUMIFS(tbLancamentos[Tempo indisponível],tbLancamentos[Equipamento],$C202,tbLancamentos[Momento da falha],"&gt;="&amp;$C$7,tbLancamentos[Momento da falha],"&lt;="&amp;$D$7)&gt;$E$7,$E$7,SUMIFS(tbLancamentos[Tempo indisponível],tbLancamentos[Equipamento],$C202,tbLancamentos[Momento da falha],"&gt;="&amp;$C$7,tbLancamentos[Momento da falha],"&lt;="&amp;$D$7)),""))</f>
        <v/>
      </c>
      <c r="E202" s="97" t="str">
        <f>IF(C202="","",IFERROR(SUMIFS(tbLancamentos[Meta tempo reparo],tbLancamentos[Equipamento],$C202,tbLancamentos[Momento da falha],"&gt;="&amp;$C$7,tbLancamentos[Momento da falha],"&lt;="&amp;$D$7),""))</f>
        <v/>
      </c>
      <c r="F202" s="97" t="str">
        <f>IF(C202="","",IFERROR(SUMIFS(tbLancamentos[Tempo devido],tbLancamentos[Equipamento],$C202,tbLancamentos[Momento da falha],"&gt;="&amp;$C$7,tbLancamentos[Momento da falha],"&lt;="&amp;$D$7),""))</f>
        <v/>
      </c>
      <c r="G20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2" s="127" t="str">
        <f t="shared" si="4"/>
        <v/>
      </c>
    </row>
    <row r="203" spans="2:9" ht="20.100000000000001" customHeight="1" x14ac:dyDescent="0.25">
      <c r="B203" s="94">
        <f>CadEqu!B199</f>
        <v>193</v>
      </c>
      <c r="C203" s="94" t="str">
        <f>IF(CadEqu!F199="","",CadEqu!F199)</f>
        <v/>
      </c>
      <c r="D203" s="97" t="str">
        <f>IF(C203="","",IFERROR(IF(SUMIFS(tbLancamentos[Tempo indisponível],tbLancamentos[Equipamento],$C203,tbLancamentos[Momento da falha],"&gt;="&amp;$C$7,tbLancamentos[Momento da falha],"&lt;="&amp;$D$7)&gt;$E$7,$E$7,SUMIFS(tbLancamentos[Tempo indisponível],tbLancamentos[Equipamento],$C203,tbLancamentos[Momento da falha],"&gt;="&amp;$C$7,tbLancamentos[Momento da falha],"&lt;="&amp;$D$7)),""))</f>
        <v/>
      </c>
      <c r="E203" s="97" t="str">
        <f>IF(C203="","",IFERROR(SUMIFS(tbLancamentos[Meta tempo reparo],tbLancamentos[Equipamento],$C203,tbLancamentos[Momento da falha],"&gt;="&amp;$C$7,tbLancamentos[Momento da falha],"&lt;="&amp;$D$7),""))</f>
        <v/>
      </c>
      <c r="F203" s="97" t="str">
        <f>IF(C203="","",IFERROR(SUMIFS(tbLancamentos[Tempo devido],tbLancamentos[Equipamento],$C203,tbLancamentos[Momento da falha],"&gt;="&amp;$C$7,tbLancamentos[Momento da falha],"&lt;="&amp;$D$7),""))</f>
        <v/>
      </c>
      <c r="G20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3" s="127" t="str">
        <f t="shared" ref="I203:I266" si="5">IF(C203="","",($E$7-(D203-E203))/$E$7)</f>
        <v/>
      </c>
    </row>
    <row r="204" spans="2:9" ht="20.100000000000001" customHeight="1" x14ac:dyDescent="0.25">
      <c r="B204" s="94">
        <f>CadEqu!B200</f>
        <v>194</v>
      </c>
      <c r="C204" s="94" t="str">
        <f>IF(CadEqu!F200="","",CadEqu!F200)</f>
        <v/>
      </c>
      <c r="D204" s="97" t="str">
        <f>IF(C204="","",IFERROR(IF(SUMIFS(tbLancamentos[Tempo indisponível],tbLancamentos[Equipamento],$C204,tbLancamentos[Momento da falha],"&gt;="&amp;$C$7,tbLancamentos[Momento da falha],"&lt;="&amp;$D$7)&gt;$E$7,$E$7,SUMIFS(tbLancamentos[Tempo indisponível],tbLancamentos[Equipamento],$C204,tbLancamentos[Momento da falha],"&gt;="&amp;$C$7,tbLancamentos[Momento da falha],"&lt;="&amp;$D$7)),""))</f>
        <v/>
      </c>
      <c r="E204" s="97" t="str">
        <f>IF(C204="","",IFERROR(SUMIFS(tbLancamentos[Meta tempo reparo],tbLancamentos[Equipamento],$C204,tbLancamentos[Momento da falha],"&gt;="&amp;$C$7,tbLancamentos[Momento da falha],"&lt;="&amp;$D$7),""))</f>
        <v/>
      </c>
      <c r="F204" s="97" t="str">
        <f>IF(C204="","",IFERROR(SUMIFS(tbLancamentos[Tempo devido],tbLancamentos[Equipamento],$C204,tbLancamentos[Momento da falha],"&gt;="&amp;$C$7,tbLancamentos[Momento da falha],"&lt;="&amp;$D$7),""))</f>
        <v/>
      </c>
      <c r="G20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4" s="127" t="str">
        <f t="shared" si="5"/>
        <v/>
      </c>
    </row>
    <row r="205" spans="2:9" ht="20.100000000000001" customHeight="1" x14ac:dyDescent="0.25">
      <c r="B205" s="94">
        <f>CadEqu!B201</f>
        <v>195</v>
      </c>
      <c r="C205" s="94" t="str">
        <f>IF(CadEqu!F201="","",CadEqu!F201)</f>
        <v/>
      </c>
      <c r="D205" s="97" t="str">
        <f>IF(C205="","",IFERROR(IF(SUMIFS(tbLancamentos[Tempo indisponível],tbLancamentos[Equipamento],$C205,tbLancamentos[Momento da falha],"&gt;="&amp;$C$7,tbLancamentos[Momento da falha],"&lt;="&amp;$D$7)&gt;$E$7,$E$7,SUMIFS(tbLancamentos[Tempo indisponível],tbLancamentos[Equipamento],$C205,tbLancamentos[Momento da falha],"&gt;="&amp;$C$7,tbLancamentos[Momento da falha],"&lt;="&amp;$D$7)),""))</f>
        <v/>
      </c>
      <c r="E205" s="97" t="str">
        <f>IF(C205="","",IFERROR(SUMIFS(tbLancamentos[Meta tempo reparo],tbLancamentos[Equipamento],$C205,tbLancamentos[Momento da falha],"&gt;="&amp;$C$7,tbLancamentos[Momento da falha],"&lt;="&amp;$D$7),""))</f>
        <v/>
      </c>
      <c r="F205" s="97" t="str">
        <f>IF(C205="","",IFERROR(SUMIFS(tbLancamentos[Tempo devido],tbLancamentos[Equipamento],$C205,tbLancamentos[Momento da falha],"&gt;="&amp;$C$7,tbLancamentos[Momento da falha],"&lt;="&amp;$D$7),""))</f>
        <v/>
      </c>
      <c r="G20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5" s="127" t="str">
        <f t="shared" si="5"/>
        <v/>
      </c>
    </row>
    <row r="206" spans="2:9" ht="20.100000000000001" customHeight="1" x14ac:dyDescent="0.25">
      <c r="B206" s="94">
        <f>CadEqu!B202</f>
        <v>196</v>
      </c>
      <c r="C206" s="94" t="str">
        <f>IF(CadEqu!F202="","",CadEqu!F202)</f>
        <v/>
      </c>
      <c r="D206" s="97" t="str">
        <f>IF(C206="","",IFERROR(IF(SUMIFS(tbLancamentos[Tempo indisponível],tbLancamentos[Equipamento],$C206,tbLancamentos[Momento da falha],"&gt;="&amp;$C$7,tbLancamentos[Momento da falha],"&lt;="&amp;$D$7)&gt;$E$7,$E$7,SUMIFS(tbLancamentos[Tempo indisponível],tbLancamentos[Equipamento],$C206,tbLancamentos[Momento da falha],"&gt;="&amp;$C$7,tbLancamentos[Momento da falha],"&lt;="&amp;$D$7)),""))</f>
        <v/>
      </c>
      <c r="E206" s="97" t="str">
        <f>IF(C206="","",IFERROR(SUMIFS(tbLancamentos[Meta tempo reparo],tbLancamentos[Equipamento],$C206,tbLancamentos[Momento da falha],"&gt;="&amp;$C$7,tbLancamentos[Momento da falha],"&lt;="&amp;$D$7),""))</f>
        <v/>
      </c>
      <c r="F206" s="97" t="str">
        <f>IF(C206="","",IFERROR(SUMIFS(tbLancamentos[Tempo devido],tbLancamentos[Equipamento],$C206,tbLancamentos[Momento da falha],"&gt;="&amp;$C$7,tbLancamentos[Momento da falha],"&lt;="&amp;$D$7),""))</f>
        <v/>
      </c>
      <c r="G20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6" s="127" t="str">
        <f t="shared" si="5"/>
        <v/>
      </c>
    </row>
    <row r="207" spans="2:9" ht="20.100000000000001" customHeight="1" x14ac:dyDescent="0.25">
      <c r="B207" s="94">
        <f>CadEqu!B203</f>
        <v>197</v>
      </c>
      <c r="C207" s="94" t="str">
        <f>IF(CadEqu!F203="","",CadEqu!F203)</f>
        <v/>
      </c>
      <c r="D207" s="97" t="str">
        <f>IF(C207="","",IFERROR(IF(SUMIFS(tbLancamentos[Tempo indisponível],tbLancamentos[Equipamento],$C207,tbLancamentos[Momento da falha],"&gt;="&amp;$C$7,tbLancamentos[Momento da falha],"&lt;="&amp;$D$7)&gt;$E$7,$E$7,SUMIFS(tbLancamentos[Tempo indisponível],tbLancamentos[Equipamento],$C207,tbLancamentos[Momento da falha],"&gt;="&amp;$C$7,tbLancamentos[Momento da falha],"&lt;="&amp;$D$7)),""))</f>
        <v/>
      </c>
      <c r="E207" s="97" t="str">
        <f>IF(C207="","",IFERROR(SUMIFS(tbLancamentos[Meta tempo reparo],tbLancamentos[Equipamento],$C207,tbLancamentos[Momento da falha],"&gt;="&amp;$C$7,tbLancamentos[Momento da falha],"&lt;="&amp;$D$7),""))</f>
        <v/>
      </c>
      <c r="F207" s="97" t="str">
        <f>IF(C207="","",IFERROR(SUMIFS(tbLancamentos[Tempo devido],tbLancamentos[Equipamento],$C207,tbLancamentos[Momento da falha],"&gt;="&amp;$C$7,tbLancamentos[Momento da falha],"&lt;="&amp;$D$7),""))</f>
        <v/>
      </c>
      <c r="G20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7" s="127" t="str">
        <f t="shared" si="5"/>
        <v/>
      </c>
    </row>
    <row r="208" spans="2:9" ht="20.100000000000001" customHeight="1" x14ac:dyDescent="0.25">
      <c r="B208" s="94">
        <f>CadEqu!B204</f>
        <v>198</v>
      </c>
      <c r="C208" s="94" t="str">
        <f>IF(CadEqu!F204="","",CadEqu!F204)</f>
        <v/>
      </c>
      <c r="D208" s="97" t="str">
        <f>IF(C208="","",IFERROR(IF(SUMIFS(tbLancamentos[Tempo indisponível],tbLancamentos[Equipamento],$C208,tbLancamentos[Momento da falha],"&gt;="&amp;$C$7,tbLancamentos[Momento da falha],"&lt;="&amp;$D$7)&gt;$E$7,$E$7,SUMIFS(tbLancamentos[Tempo indisponível],tbLancamentos[Equipamento],$C208,tbLancamentos[Momento da falha],"&gt;="&amp;$C$7,tbLancamentos[Momento da falha],"&lt;="&amp;$D$7)),""))</f>
        <v/>
      </c>
      <c r="E208" s="97" t="str">
        <f>IF(C208="","",IFERROR(SUMIFS(tbLancamentos[Meta tempo reparo],tbLancamentos[Equipamento],$C208,tbLancamentos[Momento da falha],"&gt;="&amp;$C$7,tbLancamentos[Momento da falha],"&lt;="&amp;$D$7),""))</f>
        <v/>
      </c>
      <c r="F208" s="97" t="str">
        <f>IF(C208="","",IFERROR(SUMIFS(tbLancamentos[Tempo devido],tbLancamentos[Equipamento],$C208,tbLancamentos[Momento da falha],"&gt;="&amp;$C$7,tbLancamentos[Momento da falha],"&lt;="&amp;$D$7),""))</f>
        <v/>
      </c>
      <c r="G20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8" s="127" t="str">
        <f t="shared" si="5"/>
        <v/>
      </c>
    </row>
    <row r="209" spans="2:9" ht="20.100000000000001" customHeight="1" x14ac:dyDescent="0.25">
      <c r="B209" s="94">
        <f>CadEqu!B205</f>
        <v>199</v>
      </c>
      <c r="C209" s="94" t="str">
        <f>IF(CadEqu!F205="","",CadEqu!F205)</f>
        <v/>
      </c>
      <c r="D209" s="97" t="str">
        <f>IF(C209="","",IFERROR(IF(SUMIFS(tbLancamentos[Tempo indisponível],tbLancamentos[Equipamento],$C209,tbLancamentos[Momento da falha],"&gt;="&amp;$C$7,tbLancamentos[Momento da falha],"&lt;="&amp;$D$7)&gt;$E$7,$E$7,SUMIFS(tbLancamentos[Tempo indisponível],tbLancamentos[Equipamento],$C209,tbLancamentos[Momento da falha],"&gt;="&amp;$C$7,tbLancamentos[Momento da falha],"&lt;="&amp;$D$7)),""))</f>
        <v/>
      </c>
      <c r="E209" s="97" t="str">
        <f>IF(C209="","",IFERROR(SUMIFS(tbLancamentos[Meta tempo reparo],tbLancamentos[Equipamento],$C209,tbLancamentos[Momento da falha],"&gt;="&amp;$C$7,tbLancamentos[Momento da falha],"&lt;="&amp;$D$7),""))</f>
        <v/>
      </c>
      <c r="F209" s="97" t="str">
        <f>IF(C209="","",IFERROR(SUMIFS(tbLancamentos[Tempo devido],tbLancamentos[Equipamento],$C209,tbLancamentos[Momento da falha],"&gt;="&amp;$C$7,tbLancamentos[Momento da falha],"&lt;="&amp;$D$7),""))</f>
        <v/>
      </c>
      <c r="G20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0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09" s="127" t="str">
        <f t="shared" si="5"/>
        <v/>
      </c>
    </row>
    <row r="210" spans="2:9" ht="20.100000000000001" customHeight="1" x14ac:dyDescent="0.25">
      <c r="B210" s="94">
        <f>CadEqu!B206</f>
        <v>200</v>
      </c>
      <c r="C210" s="94" t="str">
        <f>IF(CadEqu!F206="","",CadEqu!F206)</f>
        <v/>
      </c>
      <c r="D210" s="97" t="str">
        <f>IF(C210="","",IFERROR(IF(SUMIFS(tbLancamentos[Tempo indisponível],tbLancamentos[Equipamento],$C210,tbLancamentos[Momento da falha],"&gt;="&amp;$C$7,tbLancamentos[Momento da falha],"&lt;="&amp;$D$7)&gt;$E$7,$E$7,SUMIFS(tbLancamentos[Tempo indisponível],tbLancamentos[Equipamento],$C210,tbLancamentos[Momento da falha],"&gt;="&amp;$C$7,tbLancamentos[Momento da falha],"&lt;="&amp;$D$7)),""))</f>
        <v/>
      </c>
      <c r="E210" s="97" t="str">
        <f>IF(C210="","",IFERROR(SUMIFS(tbLancamentos[Meta tempo reparo],tbLancamentos[Equipamento],$C210,tbLancamentos[Momento da falha],"&gt;="&amp;$C$7,tbLancamentos[Momento da falha],"&lt;="&amp;$D$7),""))</f>
        <v/>
      </c>
      <c r="F210" s="97" t="str">
        <f>IF(C210="","",IFERROR(SUMIFS(tbLancamentos[Tempo devido],tbLancamentos[Equipamento],$C210,tbLancamentos[Momento da falha],"&gt;="&amp;$C$7,tbLancamentos[Momento da falha],"&lt;="&amp;$D$7),""))</f>
        <v/>
      </c>
      <c r="G21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0" s="127" t="str">
        <f t="shared" si="5"/>
        <v/>
      </c>
    </row>
    <row r="211" spans="2:9" ht="20.100000000000001" customHeight="1" x14ac:dyDescent="0.25">
      <c r="B211" s="94">
        <f>CadEqu!B207</f>
        <v>201</v>
      </c>
      <c r="C211" s="94" t="str">
        <f>IF(CadEqu!F207="","",CadEqu!F207)</f>
        <v/>
      </c>
      <c r="D211" s="97" t="str">
        <f>IF(C211="","",IFERROR(IF(SUMIFS(tbLancamentos[Tempo indisponível],tbLancamentos[Equipamento],$C211,tbLancamentos[Momento da falha],"&gt;="&amp;$C$7,tbLancamentos[Momento da falha],"&lt;="&amp;$D$7)&gt;$E$7,$E$7,SUMIFS(tbLancamentos[Tempo indisponível],tbLancamentos[Equipamento],$C211,tbLancamentos[Momento da falha],"&gt;="&amp;$C$7,tbLancamentos[Momento da falha],"&lt;="&amp;$D$7)),""))</f>
        <v/>
      </c>
      <c r="E211" s="97" t="str">
        <f>IF(C211="","",IFERROR(SUMIFS(tbLancamentos[Meta tempo reparo],tbLancamentos[Equipamento],$C211,tbLancamentos[Momento da falha],"&gt;="&amp;$C$7,tbLancamentos[Momento da falha],"&lt;="&amp;$D$7),""))</f>
        <v/>
      </c>
      <c r="F211" s="97" t="str">
        <f>IF(C211="","",IFERROR(SUMIFS(tbLancamentos[Tempo devido],tbLancamentos[Equipamento],$C211,tbLancamentos[Momento da falha],"&gt;="&amp;$C$7,tbLancamentos[Momento da falha],"&lt;="&amp;$D$7),""))</f>
        <v/>
      </c>
      <c r="G21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1" s="127" t="str">
        <f t="shared" si="5"/>
        <v/>
      </c>
    </row>
    <row r="212" spans="2:9" ht="20.100000000000001" customHeight="1" x14ac:dyDescent="0.25">
      <c r="B212" s="94">
        <f>CadEqu!B208</f>
        <v>202</v>
      </c>
      <c r="C212" s="94" t="str">
        <f>IF(CadEqu!F208="","",CadEqu!F208)</f>
        <v/>
      </c>
      <c r="D212" s="97" t="str">
        <f>IF(C212="","",IFERROR(IF(SUMIFS(tbLancamentos[Tempo indisponível],tbLancamentos[Equipamento],$C212,tbLancamentos[Momento da falha],"&gt;="&amp;$C$7,tbLancamentos[Momento da falha],"&lt;="&amp;$D$7)&gt;$E$7,$E$7,SUMIFS(tbLancamentos[Tempo indisponível],tbLancamentos[Equipamento],$C212,tbLancamentos[Momento da falha],"&gt;="&amp;$C$7,tbLancamentos[Momento da falha],"&lt;="&amp;$D$7)),""))</f>
        <v/>
      </c>
      <c r="E212" s="97" t="str">
        <f>IF(C212="","",IFERROR(SUMIFS(tbLancamentos[Meta tempo reparo],tbLancamentos[Equipamento],$C212,tbLancamentos[Momento da falha],"&gt;="&amp;$C$7,tbLancamentos[Momento da falha],"&lt;="&amp;$D$7),""))</f>
        <v/>
      </c>
      <c r="F212" s="97" t="str">
        <f>IF(C212="","",IFERROR(SUMIFS(tbLancamentos[Tempo devido],tbLancamentos[Equipamento],$C212,tbLancamentos[Momento da falha],"&gt;="&amp;$C$7,tbLancamentos[Momento da falha],"&lt;="&amp;$D$7),""))</f>
        <v/>
      </c>
      <c r="G21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2" s="127" t="str">
        <f t="shared" si="5"/>
        <v/>
      </c>
    </row>
    <row r="213" spans="2:9" ht="20.100000000000001" customHeight="1" x14ac:dyDescent="0.25">
      <c r="B213" s="94">
        <f>CadEqu!B209</f>
        <v>203</v>
      </c>
      <c r="C213" s="94" t="str">
        <f>IF(CadEqu!F209="","",CadEqu!F209)</f>
        <v/>
      </c>
      <c r="D213" s="97" t="str">
        <f>IF(C213="","",IFERROR(IF(SUMIFS(tbLancamentos[Tempo indisponível],tbLancamentos[Equipamento],$C213,tbLancamentos[Momento da falha],"&gt;="&amp;$C$7,tbLancamentos[Momento da falha],"&lt;="&amp;$D$7)&gt;$E$7,$E$7,SUMIFS(tbLancamentos[Tempo indisponível],tbLancamentos[Equipamento],$C213,tbLancamentos[Momento da falha],"&gt;="&amp;$C$7,tbLancamentos[Momento da falha],"&lt;="&amp;$D$7)),""))</f>
        <v/>
      </c>
      <c r="E213" s="97" t="str">
        <f>IF(C213="","",IFERROR(SUMIFS(tbLancamentos[Meta tempo reparo],tbLancamentos[Equipamento],$C213,tbLancamentos[Momento da falha],"&gt;="&amp;$C$7,tbLancamentos[Momento da falha],"&lt;="&amp;$D$7),""))</f>
        <v/>
      </c>
      <c r="F213" s="97" t="str">
        <f>IF(C213="","",IFERROR(SUMIFS(tbLancamentos[Tempo devido],tbLancamentos[Equipamento],$C213,tbLancamentos[Momento da falha],"&gt;="&amp;$C$7,tbLancamentos[Momento da falha],"&lt;="&amp;$D$7),""))</f>
        <v/>
      </c>
      <c r="G21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3" s="127" t="str">
        <f t="shared" si="5"/>
        <v/>
      </c>
    </row>
    <row r="214" spans="2:9" ht="20.100000000000001" customHeight="1" x14ac:dyDescent="0.25">
      <c r="B214" s="94">
        <f>CadEqu!B210</f>
        <v>204</v>
      </c>
      <c r="C214" s="94" t="str">
        <f>IF(CadEqu!F210="","",CadEqu!F210)</f>
        <v/>
      </c>
      <c r="D214" s="97" t="str">
        <f>IF(C214="","",IFERROR(IF(SUMIFS(tbLancamentos[Tempo indisponível],tbLancamentos[Equipamento],$C214,tbLancamentos[Momento da falha],"&gt;="&amp;$C$7,tbLancamentos[Momento da falha],"&lt;="&amp;$D$7)&gt;$E$7,$E$7,SUMIFS(tbLancamentos[Tempo indisponível],tbLancamentos[Equipamento],$C214,tbLancamentos[Momento da falha],"&gt;="&amp;$C$7,tbLancamentos[Momento da falha],"&lt;="&amp;$D$7)),""))</f>
        <v/>
      </c>
      <c r="E214" s="97" t="str">
        <f>IF(C214="","",IFERROR(SUMIFS(tbLancamentos[Meta tempo reparo],tbLancamentos[Equipamento],$C214,tbLancamentos[Momento da falha],"&gt;="&amp;$C$7,tbLancamentos[Momento da falha],"&lt;="&amp;$D$7),""))</f>
        <v/>
      </c>
      <c r="F214" s="97" t="str">
        <f>IF(C214="","",IFERROR(SUMIFS(tbLancamentos[Tempo devido],tbLancamentos[Equipamento],$C214,tbLancamentos[Momento da falha],"&gt;="&amp;$C$7,tbLancamentos[Momento da falha],"&lt;="&amp;$D$7),""))</f>
        <v/>
      </c>
      <c r="G21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4" s="127" t="str">
        <f t="shared" si="5"/>
        <v/>
      </c>
    </row>
    <row r="215" spans="2:9" ht="20.100000000000001" customHeight="1" x14ac:dyDescent="0.25">
      <c r="B215" s="94">
        <f>CadEqu!B211</f>
        <v>205</v>
      </c>
      <c r="C215" s="94" t="str">
        <f>IF(CadEqu!F211="","",CadEqu!F211)</f>
        <v/>
      </c>
      <c r="D215" s="97" t="str">
        <f>IF(C215="","",IFERROR(IF(SUMIFS(tbLancamentos[Tempo indisponível],tbLancamentos[Equipamento],$C215,tbLancamentos[Momento da falha],"&gt;="&amp;$C$7,tbLancamentos[Momento da falha],"&lt;="&amp;$D$7)&gt;$E$7,$E$7,SUMIFS(tbLancamentos[Tempo indisponível],tbLancamentos[Equipamento],$C215,tbLancamentos[Momento da falha],"&gt;="&amp;$C$7,tbLancamentos[Momento da falha],"&lt;="&amp;$D$7)),""))</f>
        <v/>
      </c>
      <c r="E215" s="97" t="str">
        <f>IF(C215="","",IFERROR(SUMIFS(tbLancamentos[Meta tempo reparo],tbLancamentos[Equipamento],$C215,tbLancamentos[Momento da falha],"&gt;="&amp;$C$7,tbLancamentos[Momento da falha],"&lt;="&amp;$D$7),""))</f>
        <v/>
      </c>
      <c r="F215" s="97" t="str">
        <f>IF(C215="","",IFERROR(SUMIFS(tbLancamentos[Tempo devido],tbLancamentos[Equipamento],$C215,tbLancamentos[Momento da falha],"&gt;="&amp;$C$7,tbLancamentos[Momento da falha],"&lt;="&amp;$D$7),""))</f>
        <v/>
      </c>
      <c r="G21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5" s="127" t="str">
        <f t="shared" si="5"/>
        <v/>
      </c>
    </row>
    <row r="216" spans="2:9" ht="20.100000000000001" customHeight="1" x14ac:dyDescent="0.25">
      <c r="B216" s="94">
        <f>CadEqu!B212</f>
        <v>206</v>
      </c>
      <c r="C216" s="94" t="str">
        <f>IF(CadEqu!F212="","",CadEqu!F212)</f>
        <v/>
      </c>
      <c r="D216" s="97" t="str">
        <f>IF(C216="","",IFERROR(IF(SUMIFS(tbLancamentos[Tempo indisponível],tbLancamentos[Equipamento],$C216,tbLancamentos[Momento da falha],"&gt;="&amp;$C$7,tbLancamentos[Momento da falha],"&lt;="&amp;$D$7)&gt;$E$7,$E$7,SUMIFS(tbLancamentos[Tempo indisponível],tbLancamentos[Equipamento],$C216,tbLancamentos[Momento da falha],"&gt;="&amp;$C$7,tbLancamentos[Momento da falha],"&lt;="&amp;$D$7)),""))</f>
        <v/>
      </c>
      <c r="E216" s="97" t="str">
        <f>IF(C216="","",IFERROR(SUMIFS(tbLancamentos[Meta tempo reparo],tbLancamentos[Equipamento],$C216,tbLancamentos[Momento da falha],"&gt;="&amp;$C$7,tbLancamentos[Momento da falha],"&lt;="&amp;$D$7),""))</f>
        <v/>
      </c>
      <c r="F216" s="97" t="str">
        <f>IF(C216="","",IFERROR(SUMIFS(tbLancamentos[Tempo devido],tbLancamentos[Equipamento],$C216,tbLancamentos[Momento da falha],"&gt;="&amp;$C$7,tbLancamentos[Momento da falha],"&lt;="&amp;$D$7),""))</f>
        <v/>
      </c>
      <c r="G21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6" s="127" t="str">
        <f t="shared" si="5"/>
        <v/>
      </c>
    </row>
    <row r="217" spans="2:9" ht="20.100000000000001" customHeight="1" x14ac:dyDescent="0.25">
      <c r="B217" s="94">
        <f>CadEqu!B213</f>
        <v>207</v>
      </c>
      <c r="C217" s="94" t="str">
        <f>IF(CadEqu!F213="","",CadEqu!F213)</f>
        <v/>
      </c>
      <c r="D217" s="97" t="str">
        <f>IF(C217="","",IFERROR(IF(SUMIFS(tbLancamentos[Tempo indisponível],tbLancamentos[Equipamento],$C217,tbLancamentos[Momento da falha],"&gt;="&amp;$C$7,tbLancamentos[Momento da falha],"&lt;="&amp;$D$7)&gt;$E$7,$E$7,SUMIFS(tbLancamentos[Tempo indisponível],tbLancamentos[Equipamento],$C217,tbLancamentos[Momento da falha],"&gt;="&amp;$C$7,tbLancamentos[Momento da falha],"&lt;="&amp;$D$7)),""))</f>
        <v/>
      </c>
      <c r="E217" s="97" t="str">
        <f>IF(C217="","",IFERROR(SUMIFS(tbLancamentos[Meta tempo reparo],tbLancamentos[Equipamento],$C217,tbLancamentos[Momento da falha],"&gt;="&amp;$C$7,tbLancamentos[Momento da falha],"&lt;="&amp;$D$7),""))</f>
        <v/>
      </c>
      <c r="F217" s="97" t="str">
        <f>IF(C217="","",IFERROR(SUMIFS(tbLancamentos[Tempo devido],tbLancamentos[Equipamento],$C217,tbLancamentos[Momento da falha],"&gt;="&amp;$C$7,tbLancamentos[Momento da falha],"&lt;="&amp;$D$7),""))</f>
        <v/>
      </c>
      <c r="G21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7" s="127" t="str">
        <f t="shared" si="5"/>
        <v/>
      </c>
    </row>
    <row r="218" spans="2:9" ht="20.100000000000001" customHeight="1" x14ac:dyDescent="0.25">
      <c r="B218" s="94">
        <f>CadEqu!B214</f>
        <v>208</v>
      </c>
      <c r="C218" s="94" t="str">
        <f>IF(CadEqu!F214="","",CadEqu!F214)</f>
        <v/>
      </c>
      <c r="D218" s="97" t="str">
        <f>IF(C218="","",IFERROR(IF(SUMIFS(tbLancamentos[Tempo indisponível],tbLancamentos[Equipamento],$C218,tbLancamentos[Momento da falha],"&gt;="&amp;$C$7,tbLancamentos[Momento da falha],"&lt;="&amp;$D$7)&gt;$E$7,$E$7,SUMIFS(tbLancamentos[Tempo indisponível],tbLancamentos[Equipamento],$C218,tbLancamentos[Momento da falha],"&gt;="&amp;$C$7,tbLancamentos[Momento da falha],"&lt;="&amp;$D$7)),""))</f>
        <v/>
      </c>
      <c r="E218" s="97" t="str">
        <f>IF(C218="","",IFERROR(SUMIFS(tbLancamentos[Meta tempo reparo],tbLancamentos[Equipamento],$C218,tbLancamentos[Momento da falha],"&gt;="&amp;$C$7,tbLancamentos[Momento da falha],"&lt;="&amp;$D$7),""))</f>
        <v/>
      </c>
      <c r="F218" s="97" t="str">
        <f>IF(C218="","",IFERROR(SUMIFS(tbLancamentos[Tempo devido],tbLancamentos[Equipamento],$C218,tbLancamentos[Momento da falha],"&gt;="&amp;$C$7,tbLancamentos[Momento da falha],"&lt;="&amp;$D$7),""))</f>
        <v/>
      </c>
      <c r="G21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8" s="127" t="str">
        <f t="shared" si="5"/>
        <v/>
      </c>
    </row>
    <row r="219" spans="2:9" ht="20.100000000000001" customHeight="1" x14ac:dyDescent="0.25">
      <c r="B219" s="94">
        <f>CadEqu!B215</f>
        <v>209</v>
      </c>
      <c r="C219" s="94" t="str">
        <f>IF(CadEqu!F215="","",CadEqu!F215)</f>
        <v/>
      </c>
      <c r="D219" s="97" t="str">
        <f>IF(C219="","",IFERROR(IF(SUMIFS(tbLancamentos[Tempo indisponível],tbLancamentos[Equipamento],$C219,tbLancamentos[Momento da falha],"&gt;="&amp;$C$7,tbLancamentos[Momento da falha],"&lt;="&amp;$D$7)&gt;$E$7,$E$7,SUMIFS(tbLancamentos[Tempo indisponível],tbLancamentos[Equipamento],$C219,tbLancamentos[Momento da falha],"&gt;="&amp;$C$7,tbLancamentos[Momento da falha],"&lt;="&amp;$D$7)),""))</f>
        <v/>
      </c>
      <c r="E219" s="97" t="str">
        <f>IF(C219="","",IFERROR(SUMIFS(tbLancamentos[Meta tempo reparo],tbLancamentos[Equipamento],$C219,tbLancamentos[Momento da falha],"&gt;="&amp;$C$7,tbLancamentos[Momento da falha],"&lt;="&amp;$D$7),""))</f>
        <v/>
      </c>
      <c r="F219" s="97" t="str">
        <f>IF(C219="","",IFERROR(SUMIFS(tbLancamentos[Tempo devido],tbLancamentos[Equipamento],$C219,tbLancamentos[Momento da falha],"&gt;="&amp;$C$7,tbLancamentos[Momento da falha],"&lt;="&amp;$D$7),""))</f>
        <v/>
      </c>
      <c r="G21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1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19" s="127" t="str">
        <f t="shared" si="5"/>
        <v/>
      </c>
    </row>
    <row r="220" spans="2:9" ht="20.100000000000001" customHeight="1" x14ac:dyDescent="0.25">
      <c r="B220" s="94">
        <f>CadEqu!B216</f>
        <v>210</v>
      </c>
      <c r="C220" s="94" t="str">
        <f>IF(CadEqu!F216="","",CadEqu!F216)</f>
        <v/>
      </c>
      <c r="D220" s="97" t="str">
        <f>IF(C220="","",IFERROR(IF(SUMIFS(tbLancamentos[Tempo indisponível],tbLancamentos[Equipamento],$C220,tbLancamentos[Momento da falha],"&gt;="&amp;$C$7,tbLancamentos[Momento da falha],"&lt;="&amp;$D$7)&gt;$E$7,$E$7,SUMIFS(tbLancamentos[Tempo indisponível],tbLancamentos[Equipamento],$C220,tbLancamentos[Momento da falha],"&gt;="&amp;$C$7,tbLancamentos[Momento da falha],"&lt;="&amp;$D$7)),""))</f>
        <v/>
      </c>
      <c r="E220" s="97" t="str">
        <f>IF(C220="","",IFERROR(SUMIFS(tbLancamentos[Meta tempo reparo],tbLancamentos[Equipamento],$C220,tbLancamentos[Momento da falha],"&gt;="&amp;$C$7,tbLancamentos[Momento da falha],"&lt;="&amp;$D$7),""))</f>
        <v/>
      </c>
      <c r="F220" s="97" t="str">
        <f>IF(C220="","",IFERROR(SUMIFS(tbLancamentos[Tempo devido],tbLancamentos[Equipamento],$C220,tbLancamentos[Momento da falha],"&gt;="&amp;$C$7,tbLancamentos[Momento da falha],"&lt;="&amp;$D$7),""))</f>
        <v/>
      </c>
      <c r="G22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0" s="127" t="str">
        <f t="shared" si="5"/>
        <v/>
      </c>
    </row>
    <row r="221" spans="2:9" ht="20.100000000000001" customHeight="1" x14ac:dyDescent="0.25">
      <c r="B221" s="94">
        <f>CadEqu!B217</f>
        <v>211</v>
      </c>
      <c r="C221" s="94" t="str">
        <f>IF(CadEqu!F217="","",CadEqu!F217)</f>
        <v/>
      </c>
      <c r="D221" s="97" t="str">
        <f>IF(C221="","",IFERROR(IF(SUMIFS(tbLancamentos[Tempo indisponível],tbLancamentos[Equipamento],$C221,tbLancamentos[Momento da falha],"&gt;="&amp;$C$7,tbLancamentos[Momento da falha],"&lt;="&amp;$D$7)&gt;$E$7,$E$7,SUMIFS(tbLancamentos[Tempo indisponível],tbLancamentos[Equipamento],$C221,tbLancamentos[Momento da falha],"&gt;="&amp;$C$7,tbLancamentos[Momento da falha],"&lt;="&amp;$D$7)),""))</f>
        <v/>
      </c>
      <c r="E221" s="97" t="str">
        <f>IF(C221="","",IFERROR(SUMIFS(tbLancamentos[Meta tempo reparo],tbLancamentos[Equipamento],$C221,tbLancamentos[Momento da falha],"&gt;="&amp;$C$7,tbLancamentos[Momento da falha],"&lt;="&amp;$D$7),""))</f>
        <v/>
      </c>
      <c r="F221" s="97" t="str">
        <f>IF(C221="","",IFERROR(SUMIFS(tbLancamentos[Tempo devido],tbLancamentos[Equipamento],$C221,tbLancamentos[Momento da falha],"&gt;="&amp;$C$7,tbLancamentos[Momento da falha],"&lt;="&amp;$D$7),""))</f>
        <v/>
      </c>
      <c r="G22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1" s="127" t="str">
        <f t="shared" si="5"/>
        <v/>
      </c>
    </row>
    <row r="222" spans="2:9" ht="20.100000000000001" customHeight="1" x14ac:dyDescent="0.25">
      <c r="B222" s="94">
        <f>CadEqu!B218</f>
        <v>212</v>
      </c>
      <c r="C222" s="94" t="str">
        <f>IF(CadEqu!F218="","",CadEqu!F218)</f>
        <v/>
      </c>
      <c r="D222" s="97" t="str">
        <f>IF(C222="","",IFERROR(IF(SUMIFS(tbLancamentos[Tempo indisponível],tbLancamentos[Equipamento],$C222,tbLancamentos[Momento da falha],"&gt;="&amp;$C$7,tbLancamentos[Momento da falha],"&lt;="&amp;$D$7)&gt;$E$7,$E$7,SUMIFS(tbLancamentos[Tempo indisponível],tbLancamentos[Equipamento],$C222,tbLancamentos[Momento da falha],"&gt;="&amp;$C$7,tbLancamentos[Momento da falha],"&lt;="&amp;$D$7)),""))</f>
        <v/>
      </c>
      <c r="E222" s="97" t="str">
        <f>IF(C222="","",IFERROR(SUMIFS(tbLancamentos[Meta tempo reparo],tbLancamentos[Equipamento],$C222,tbLancamentos[Momento da falha],"&gt;="&amp;$C$7,tbLancamentos[Momento da falha],"&lt;="&amp;$D$7),""))</f>
        <v/>
      </c>
      <c r="F222" s="97" t="str">
        <f>IF(C222="","",IFERROR(SUMIFS(tbLancamentos[Tempo devido],tbLancamentos[Equipamento],$C222,tbLancamentos[Momento da falha],"&gt;="&amp;$C$7,tbLancamentos[Momento da falha],"&lt;="&amp;$D$7),""))</f>
        <v/>
      </c>
      <c r="G22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2" s="127" t="str">
        <f t="shared" si="5"/>
        <v/>
      </c>
    </row>
    <row r="223" spans="2:9" ht="20.100000000000001" customHeight="1" x14ac:dyDescent="0.25">
      <c r="B223" s="94">
        <f>CadEqu!B219</f>
        <v>213</v>
      </c>
      <c r="C223" s="94" t="str">
        <f>IF(CadEqu!F219="","",CadEqu!F219)</f>
        <v/>
      </c>
      <c r="D223" s="97" t="str">
        <f>IF(C223="","",IFERROR(IF(SUMIFS(tbLancamentos[Tempo indisponível],tbLancamentos[Equipamento],$C223,tbLancamentos[Momento da falha],"&gt;="&amp;$C$7,tbLancamentos[Momento da falha],"&lt;="&amp;$D$7)&gt;$E$7,$E$7,SUMIFS(tbLancamentos[Tempo indisponível],tbLancamentos[Equipamento],$C223,tbLancamentos[Momento da falha],"&gt;="&amp;$C$7,tbLancamentos[Momento da falha],"&lt;="&amp;$D$7)),""))</f>
        <v/>
      </c>
      <c r="E223" s="97" t="str">
        <f>IF(C223="","",IFERROR(SUMIFS(tbLancamentos[Meta tempo reparo],tbLancamentos[Equipamento],$C223,tbLancamentos[Momento da falha],"&gt;="&amp;$C$7,tbLancamentos[Momento da falha],"&lt;="&amp;$D$7),""))</f>
        <v/>
      </c>
      <c r="F223" s="97" t="str">
        <f>IF(C223="","",IFERROR(SUMIFS(tbLancamentos[Tempo devido],tbLancamentos[Equipamento],$C223,tbLancamentos[Momento da falha],"&gt;="&amp;$C$7,tbLancamentos[Momento da falha],"&lt;="&amp;$D$7),""))</f>
        <v/>
      </c>
      <c r="G22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3" s="127" t="str">
        <f t="shared" si="5"/>
        <v/>
      </c>
    </row>
    <row r="224" spans="2:9" ht="20.100000000000001" customHeight="1" x14ac:dyDescent="0.25">
      <c r="B224" s="94">
        <f>CadEqu!B220</f>
        <v>214</v>
      </c>
      <c r="C224" s="94" t="str">
        <f>IF(CadEqu!F220="","",CadEqu!F220)</f>
        <v/>
      </c>
      <c r="D224" s="97" t="str">
        <f>IF(C224="","",IFERROR(IF(SUMIFS(tbLancamentos[Tempo indisponível],tbLancamentos[Equipamento],$C224,tbLancamentos[Momento da falha],"&gt;="&amp;$C$7,tbLancamentos[Momento da falha],"&lt;="&amp;$D$7)&gt;$E$7,$E$7,SUMIFS(tbLancamentos[Tempo indisponível],tbLancamentos[Equipamento],$C224,tbLancamentos[Momento da falha],"&gt;="&amp;$C$7,tbLancamentos[Momento da falha],"&lt;="&amp;$D$7)),""))</f>
        <v/>
      </c>
      <c r="E224" s="97" t="str">
        <f>IF(C224="","",IFERROR(SUMIFS(tbLancamentos[Meta tempo reparo],tbLancamentos[Equipamento],$C224,tbLancamentos[Momento da falha],"&gt;="&amp;$C$7,tbLancamentos[Momento da falha],"&lt;="&amp;$D$7),""))</f>
        <v/>
      </c>
      <c r="F224" s="97" t="str">
        <f>IF(C224="","",IFERROR(SUMIFS(tbLancamentos[Tempo devido],tbLancamentos[Equipamento],$C224,tbLancamentos[Momento da falha],"&gt;="&amp;$C$7,tbLancamentos[Momento da falha],"&lt;="&amp;$D$7),""))</f>
        <v/>
      </c>
      <c r="G22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4" s="127" t="str">
        <f t="shared" si="5"/>
        <v/>
      </c>
    </row>
    <row r="225" spans="2:9" ht="20.100000000000001" customHeight="1" x14ac:dyDescent="0.25">
      <c r="B225" s="94">
        <f>CadEqu!B221</f>
        <v>215</v>
      </c>
      <c r="C225" s="94" t="str">
        <f>IF(CadEqu!F221="","",CadEqu!F221)</f>
        <v/>
      </c>
      <c r="D225" s="97" t="str">
        <f>IF(C225="","",IFERROR(IF(SUMIFS(tbLancamentos[Tempo indisponível],tbLancamentos[Equipamento],$C225,tbLancamentos[Momento da falha],"&gt;="&amp;$C$7,tbLancamentos[Momento da falha],"&lt;="&amp;$D$7)&gt;$E$7,$E$7,SUMIFS(tbLancamentos[Tempo indisponível],tbLancamentos[Equipamento],$C225,tbLancamentos[Momento da falha],"&gt;="&amp;$C$7,tbLancamentos[Momento da falha],"&lt;="&amp;$D$7)),""))</f>
        <v/>
      </c>
      <c r="E225" s="97" t="str">
        <f>IF(C225="","",IFERROR(SUMIFS(tbLancamentos[Meta tempo reparo],tbLancamentos[Equipamento],$C225,tbLancamentos[Momento da falha],"&gt;="&amp;$C$7,tbLancamentos[Momento da falha],"&lt;="&amp;$D$7),""))</f>
        <v/>
      </c>
      <c r="F225" s="97" t="str">
        <f>IF(C225="","",IFERROR(SUMIFS(tbLancamentos[Tempo devido],tbLancamentos[Equipamento],$C225,tbLancamentos[Momento da falha],"&gt;="&amp;$C$7,tbLancamentos[Momento da falha],"&lt;="&amp;$D$7),""))</f>
        <v/>
      </c>
      <c r="G22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5" s="127" t="str">
        <f t="shared" si="5"/>
        <v/>
      </c>
    </row>
    <row r="226" spans="2:9" ht="20.100000000000001" customHeight="1" x14ac:dyDescent="0.25">
      <c r="B226" s="94">
        <f>CadEqu!B222</f>
        <v>216</v>
      </c>
      <c r="C226" s="94" t="str">
        <f>IF(CadEqu!F222="","",CadEqu!F222)</f>
        <v/>
      </c>
      <c r="D226" s="97" t="str">
        <f>IF(C226="","",IFERROR(IF(SUMIFS(tbLancamentos[Tempo indisponível],tbLancamentos[Equipamento],$C226,tbLancamentos[Momento da falha],"&gt;="&amp;$C$7,tbLancamentos[Momento da falha],"&lt;="&amp;$D$7)&gt;$E$7,$E$7,SUMIFS(tbLancamentos[Tempo indisponível],tbLancamentos[Equipamento],$C226,tbLancamentos[Momento da falha],"&gt;="&amp;$C$7,tbLancamentos[Momento da falha],"&lt;="&amp;$D$7)),""))</f>
        <v/>
      </c>
      <c r="E226" s="97" t="str">
        <f>IF(C226="","",IFERROR(SUMIFS(tbLancamentos[Meta tempo reparo],tbLancamentos[Equipamento],$C226,tbLancamentos[Momento da falha],"&gt;="&amp;$C$7,tbLancamentos[Momento da falha],"&lt;="&amp;$D$7),""))</f>
        <v/>
      </c>
      <c r="F226" s="97" t="str">
        <f>IF(C226="","",IFERROR(SUMIFS(tbLancamentos[Tempo devido],tbLancamentos[Equipamento],$C226,tbLancamentos[Momento da falha],"&gt;="&amp;$C$7,tbLancamentos[Momento da falha],"&lt;="&amp;$D$7),""))</f>
        <v/>
      </c>
      <c r="G22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6" s="127" t="str">
        <f t="shared" si="5"/>
        <v/>
      </c>
    </row>
    <row r="227" spans="2:9" ht="20.100000000000001" customHeight="1" x14ac:dyDescent="0.25">
      <c r="B227" s="94">
        <f>CadEqu!B223</f>
        <v>217</v>
      </c>
      <c r="C227" s="94" t="str">
        <f>IF(CadEqu!F223="","",CadEqu!F223)</f>
        <v/>
      </c>
      <c r="D227" s="97" t="str">
        <f>IF(C227="","",IFERROR(IF(SUMIFS(tbLancamentos[Tempo indisponível],tbLancamentos[Equipamento],$C227,tbLancamentos[Momento da falha],"&gt;="&amp;$C$7,tbLancamentos[Momento da falha],"&lt;="&amp;$D$7)&gt;$E$7,$E$7,SUMIFS(tbLancamentos[Tempo indisponível],tbLancamentos[Equipamento],$C227,tbLancamentos[Momento da falha],"&gt;="&amp;$C$7,tbLancamentos[Momento da falha],"&lt;="&amp;$D$7)),""))</f>
        <v/>
      </c>
      <c r="E227" s="97" t="str">
        <f>IF(C227="","",IFERROR(SUMIFS(tbLancamentos[Meta tempo reparo],tbLancamentos[Equipamento],$C227,tbLancamentos[Momento da falha],"&gt;="&amp;$C$7,tbLancamentos[Momento da falha],"&lt;="&amp;$D$7),""))</f>
        <v/>
      </c>
      <c r="F227" s="97" t="str">
        <f>IF(C227="","",IFERROR(SUMIFS(tbLancamentos[Tempo devido],tbLancamentos[Equipamento],$C227,tbLancamentos[Momento da falha],"&gt;="&amp;$C$7,tbLancamentos[Momento da falha],"&lt;="&amp;$D$7),""))</f>
        <v/>
      </c>
      <c r="G22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7" s="127" t="str">
        <f t="shared" si="5"/>
        <v/>
      </c>
    </row>
    <row r="228" spans="2:9" ht="20.100000000000001" customHeight="1" x14ac:dyDescent="0.25">
      <c r="B228" s="94">
        <f>CadEqu!B224</f>
        <v>218</v>
      </c>
      <c r="C228" s="94" t="str">
        <f>IF(CadEqu!F224="","",CadEqu!F224)</f>
        <v/>
      </c>
      <c r="D228" s="97" t="str">
        <f>IF(C228="","",IFERROR(IF(SUMIFS(tbLancamentos[Tempo indisponível],tbLancamentos[Equipamento],$C228,tbLancamentos[Momento da falha],"&gt;="&amp;$C$7,tbLancamentos[Momento da falha],"&lt;="&amp;$D$7)&gt;$E$7,$E$7,SUMIFS(tbLancamentos[Tempo indisponível],tbLancamentos[Equipamento],$C228,tbLancamentos[Momento da falha],"&gt;="&amp;$C$7,tbLancamentos[Momento da falha],"&lt;="&amp;$D$7)),""))</f>
        <v/>
      </c>
      <c r="E228" s="97" t="str">
        <f>IF(C228="","",IFERROR(SUMIFS(tbLancamentos[Meta tempo reparo],tbLancamentos[Equipamento],$C228,tbLancamentos[Momento da falha],"&gt;="&amp;$C$7,tbLancamentos[Momento da falha],"&lt;="&amp;$D$7),""))</f>
        <v/>
      </c>
      <c r="F228" s="97" t="str">
        <f>IF(C228="","",IFERROR(SUMIFS(tbLancamentos[Tempo devido],tbLancamentos[Equipamento],$C228,tbLancamentos[Momento da falha],"&gt;="&amp;$C$7,tbLancamentos[Momento da falha],"&lt;="&amp;$D$7),""))</f>
        <v/>
      </c>
      <c r="G22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8" s="127" t="str">
        <f t="shared" si="5"/>
        <v/>
      </c>
    </row>
    <row r="229" spans="2:9" ht="20.100000000000001" customHeight="1" x14ac:dyDescent="0.25">
      <c r="B229" s="94">
        <f>CadEqu!B225</f>
        <v>219</v>
      </c>
      <c r="C229" s="94" t="str">
        <f>IF(CadEqu!F225="","",CadEqu!F225)</f>
        <v/>
      </c>
      <c r="D229" s="97" t="str">
        <f>IF(C229="","",IFERROR(IF(SUMIFS(tbLancamentos[Tempo indisponível],tbLancamentos[Equipamento],$C229,tbLancamentos[Momento da falha],"&gt;="&amp;$C$7,tbLancamentos[Momento da falha],"&lt;="&amp;$D$7)&gt;$E$7,$E$7,SUMIFS(tbLancamentos[Tempo indisponível],tbLancamentos[Equipamento],$C229,tbLancamentos[Momento da falha],"&gt;="&amp;$C$7,tbLancamentos[Momento da falha],"&lt;="&amp;$D$7)),""))</f>
        <v/>
      </c>
      <c r="E229" s="97" t="str">
        <f>IF(C229="","",IFERROR(SUMIFS(tbLancamentos[Meta tempo reparo],tbLancamentos[Equipamento],$C229,tbLancamentos[Momento da falha],"&gt;="&amp;$C$7,tbLancamentos[Momento da falha],"&lt;="&amp;$D$7),""))</f>
        <v/>
      </c>
      <c r="F229" s="97" t="str">
        <f>IF(C229="","",IFERROR(SUMIFS(tbLancamentos[Tempo devido],tbLancamentos[Equipamento],$C229,tbLancamentos[Momento da falha],"&gt;="&amp;$C$7,tbLancamentos[Momento da falha],"&lt;="&amp;$D$7),""))</f>
        <v/>
      </c>
      <c r="G22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2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29" s="127" t="str">
        <f t="shared" si="5"/>
        <v/>
      </c>
    </row>
    <row r="230" spans="2:9" ht="20.100000000000001" customHeight="1" x14ac:dyDescent="0.25">
      <c r="B230" s="94">
        <f>CadEqu!B226</f>
        <v>220</v>
      </c>
      <c r="C230" s="94" t="str">
        <f>IF(CadEqu!F226="","",CadEqu!F226)</f>
        <v/>
      </c>
      <c r="D230" s="97" t="str">
        <f>IF(C230="","",IFERROR(IF(SUMIFS(tbLancamentos[Tempo indisponível],tbLancamentos[Equipamento],$C230,tbLancamentos[Momento da falha],"&gt;="&amp;$C$7,tbLancamentos[Momento da falha],"&lt;="&amp;$D$7)&gt;$E$7,$E$7,SUMIFS(tbLancamentos[Tempo indisponível],tbLancamentos[Equipamento],$C230,tbLancamentos[Momento da falha],"&gt;="&amp;$C$7,tbLancamentos[Momento da falha],"&lt;="&amp;$D$7)),""))</f>
        <v/>
      </c>
      <c r="E230" s="97" t="str">
        <f>IF(C230="","",IFERROR(SUMIFS(tbLancamentos[Meta tempo reparo],tbLancamentos[Equipamento],$C230,tbLancamentos[Momento da falha],"&gt;="&amp;$C$7,tbLancamentos[Momento da falha],"&lt;="&amp;$D$7),""))</f>
        <v/>
      </c>
      <c r="F230" s="97" t="str">
        <f>IF(C230="","",IFERROR(SUMIFS(tbLancamentos[Tempo devido],tbLancamentos[Equipamento],$C230,tbLancamentos[Momento da falha],"&gt;="&amp;$C$7,tbLancamentos[Momento da falha],"&lt;="&amp;$D$7),""))</f>
        <v/>
      </c>
      <c r="G23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0" s="127" t="str">
        <f t="shared" si="5"/>
        <v/>
      </c>
    </row>
    <row r="231" spans="2:9" ht="20.100000000000001" customHeight="1" x14ac:dyDescent="0.25">
      <c r="B231" s="94">
        <f>CadEqu!B227</f>
        <v>221</v>
      </c>
      <c r="C231" s="94" t="str">
        <f>IF(CadEqu!F227="","",CadEqu!F227)</f>
        <v/>
      </c>
      <c r="D231" s="97" t="str">
        <f>IF(C231="","",IFERROR(IF(SUMIFS(tbLancamentos[Tempo indisponível],tbLancamentos[Equipamento],$C231,tbLancamentos[Momento da falha],"&gt;="&amp;$C$7,tbLancamentos[Momento da falha],"&lt;="&amp;$D$7)&gt;$E$7,$E$7,SUMIFS(tbLancamentos[Tempo indisponível],tbLancamentos[Equipamento],$C231,tbLancamentos[Momento da falha],"&gt;="&amp;$C$7,tbLancamentos[Momento da falha],"&lt;="&amp;$D$7)),""))</f>
        <v/>
      </c>
      <c r="E231" s="97" t="str">
        <f>IF(C231="","",IFERROR(SUMIFS(tbLancamentos[Meta tempo reparo],tbLancamentos[Equipamento],$C231,tbLancamentos[Momento da falha],"&gt;="&amp;$C$7,tbLancamentos[Momento da falha],"&lt;="&amp;$D$7),""))</f>
        <v/>
      </c>
      <c r="F231" s="97" t="str">
        <f>IF(C231="","",IFERROR(SUMIFS(tbLancamentos[Tempo devido],tbLancamentos[Equipamento],$C231,tbLancamentos[Momento da falha],"&gt;="&amp;$C$7,tbLancamentos[Momento da falha],"&lt;="&amp;$D$7),""))</f>
        <v/>
      </c>
      <c r="G23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1" s="127" t="str">
        <f t="shared" si="5"/>
        <v/>
      </c>
    </row>
    <row r="232" spans="2:9" ht="20.100000000000001" customHeight="1" x14ac:dyDescent="0.25">
      <c r="B232" s="94">
        <f>CadEqu!B228</f>
        <v>222</v>
      </c>
      <c r="C232" s="94" t="str">
        <f>IF(CadEqu!F228="","",CadEqu!F228)</f>
        <v/>
      </c>
      <c r="D232" s="97" t="str">
        <f>IF(C232="","",IFERROR(IF(SUMIFS(tbLancamentos[Tempo indisponível],tbLancamentos[Equipamento],$C232,tbLancamentos[Momento da falha],"&gt;="&amp;$C$7,tbLancamentos[Momento da falha],"&lt;="&amp;$D$7)&gt;$E$7,$E$7,SUMIFS(tbLancamentos[Tempo indisponível],tbLancamentos[Equipamento],$C232,tbLancamentos[Momento da falha],"&gt;="&amp;$C$7,tbLancamentos[Momento da falha],"&lt;="&amp;$D$7)),""))</f>
        <v/>
      </c>
      <c r="E232" s="97" t="str">
        <f>IF(C232="","",IFERROR(SUMIFS(tbLancamentos[Meta tempo reparo],tbLancamentos[Equipamento],$C232,tbLancamentos[Momento da falha],"&gt;="&amp;$C$7,tbLancamentos[Momento da falha],"&lt;="&amp;$D$7),""))</f>
        <v/>
      </c>
      <c r="F232" s="97" t="str">
        <f>IF(C232="","",IFERROR(SUMIFS(tbLancamentos[Tempo devido],tbLancamentos[Equipamento],$C232,tbLancamentos[Momento da falha],"&gt;="&amp;$C$7,tbLancamentos[Momento da falha],"&lt;="&amp;$D$7),""))</f>
        <v/>
      </c>
      <c r="G23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2" s="127" t="str">
        <f t="shared" si="5"/>
        <v/>
      </c>
    </row>
    <row r="233" spans="2:9" ht="20.100000000000001" customHeight="1" x14ac:dyDescent="0.25">
      <c r="B233" s="94">
        <f>CadEqu!B229</f>
        <v>223</v>
      </c>
      <c r="C233" s="94" t="str">
        <f>IF(CadEqu!F229="","",CadEqu!F229)</f>
        <v/>
      </c>
      <c r="D233" s="97" t="str">
        <f>IF(C233="","",IFERROR(IF(SUMIFS(tbLancamentos[Tempo indisponível],tbLancamentos[Equipamento],$C233,tbLancamentos[Momento da falha],"&gt;="&amp;$C$7,tbLancamentos[Momento da falha],"&lt;="&amp;$D$7)&gt;$E$7,$E$7,SUMIFS(tbLancamentos[Tempo indisponível],tbLancamentos[Equipamento],$C233,tbLancamentos[Momento da falha],"&gt;="&amp;$C$7,tbLancamentos[Momento da falha],"&lt;="&amp;$D$7)),""))</f>
        <v/>
      </c>
      <c r="E233" s="97" t="str">
        <f>IF(C233="","",IFERROR(SUMIFS(tbLancamentos[Meta tempo reparo],tbLancamentos[Equipamento],$C233,tbLancamentos[Momento da falha],"&gt;="&amp;$C$7,tbLancamentos[Momento da falha],"&lt;="&amp;$D$7),""))</f>
        <v/>
      </c>
      <c r="F233" s="97" t="str">
        <f>IF(C233="","",IFERROR(SUMIFS(tbLancamentos[Tempo devido],tbLancamentos[Equipamento],$C233,tbLancamentos[Momento da falha],"&gt;="&amp;$C$7,tbLancamentos[Momento da falha],"&lt;="&amp;$D$7),""))</f>
        <v/>
      </c>
      <c r="G23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3" s="127" t="str">
        <f t="shared" si="5"/>
        <v/>
      </c>
    </row>
    <row r="234" spans="2:9" ht="20.100000000000001" customHeight="1" x14ac:dyDescent="0.25">
      <c r="B234" s="94">
        <f>CadEqu!B230</f>
        <v>224</v>
      </c>
      <c r="C234" s="94" t="str">
        <f>IF(CadEqu!F230="","",CadEqu!F230)</f>
        <v/>
      </c>
      <c r="D234" s="97" t="str">
        <f>IF(C234="","",IFERROR(IF(SUMIFS(tbLancamentos[Tempo indisponível],tbLancamentos[Equipamento],$C234,tbLancamentos[Momento da falha],"&gt;="&amp;$C$7,tbLancamentos[Momento da falha],"&lt;="&amp;$D$7)&gt;$E$7,$E$7,SUMIFS(tbLancamentos[Tempo indisponível],tbLancamentos[Equipamento],$C234,tbLancamentos[Momento da falha],"&gt;="&amp;$C$7,tbLancamentos[Momento da falha],"&lt;="&amp;$D$7)),""))</f>
        <v/>
      </c>
      <c r="E234" s="97" t="str">
        <f>IF(C234="","",IFERROR(SUMIFS(tbLancamentos[Meta tempo reparo],tbLancamentos[Equipamento],$C234,tbLancamentos[Momento da falha],"&gt;="&amp;$C$7,tbLancamentos[Momento da falha],"&lt;="&amp;$D$7),""))</f>
        <v/>
      </c>
      <c r="F234" s="97" t="str">
        <f>IF(C234="","",IFERROR(SUMIFS(tbLancamentos[Tempo devido],tbLancamentos[Equipamento],$C234,tbLancamentos[Momento da falha],"&gt;="&amp;$C$7,tbLancamentos[Momento da falha],"&lt;="&amp;$D$7),""))</f>
        <v/>
      </c>
      <c r="G23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4" s="127" t="str">
        <f t="shared" si="5"/>
        <v/>
      </c>
    </row>
    <row r="235" spans="2:9" ht="20.100000000000001" customHeight="1" x14ac:dyDescent="0.25">
      <c r="B235" s="94">
        <f>CadEqu!B231</f>
        <v>225</v>
      </c>
      <c r="C235" s="94" t="str">
        <f>IF(CadEqu!F231="","",CadEqu!F231)</f>
        <v/>
      </c>
      <c r="D235" s="97" t="str">
        <f>IF(C235="","",IFERROR(IF(SUMIFS(tbLancamentos[Tempo indisponível],tbLancamentos[Equipamento],$C235,tbLancamentos[Momento da falha],"&gt;="&amp;$C$7,tbLancamentos[Momento da falha],"&lt;="&amp;$D$7)&gt;$E$7,$E$7,SUMIFS(tbLancamentos[Tempo indisponível],tbLancamentos[Equipamento],$C235,tbLancamentos[Momento da falha],"&gt;="&amp;$C$7,tbLancamentos[Momento da falha],"&lt;="&amp;$D$7)),""))</f>
        <v/>
      </c>
      <c r="E235" s="97" t="str">
        <f>IF(C235="","",IFERROR(SUMIFS(tbLancamentos[Meta tempo reparo],tbLancamentos[Equipamento],$C235,tbLancamentos[Momento da falha],"&gt;="&amp;$C$7,tbLancamentos[Momento da falha],"&lt;="&amp;$D$7),""))</f>
        <v/>
      </c>
      <c r="F235" s="97" t="str">
        <f>IF(C235="","",IFERROR(SUMIFS(tbLancamentos[Tempo devido],tbLancamentos[Equipamento],$C235,tbLancamentos[Momento da falha],"&gt;="&amp;$C$7,tbLancamentos[Momento da falha],"&lt;="&amp;$D$7),""))</f>
        <v/>
      </c>
      <c r="G23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5" s="127" t="str">
        <f t="shared" si="5"/>
        <v/>
      </c>
    </row>
    <row r="236" spans="2:9" ht="20.100000000000001" customHeight="1" x14ac:dyDescent="0.25">
      <c r="B236" s="94">
        <f>CadEqu!B232</f>
        <v>226</v>
      </c>
      <c r="C236" s="94" t="str">
        <f>IF(CadEqu!F232="","",CadEqu!F232)</f>
        <v/>
      </c>
      <c r="D236" s="97" t="str">
        <f>IF(C236="","",IFERROR(IF(SUMIFS(tbLancamentos[Tempo indisponível],tbLancamentos[Equipamento],$C236,tbLancamentos[Momento da falha],"&gt;="&amp;$C$7,tbLancamentos[Momento da falha],"&lt;="&amp;$D$7)&gt;$E$7,$E$7,SUMIFS(tbLancamentos[Tempo indisponível],tbLancamentos[Equipamento],$C236,tbLancamentos[Momento da falha],"&gt;="&amp;$C$7,tbLancamentos[Momento da falha],"&lt;="&amp;$D$7)),""))</f>
        <v/>
      </c>
      <c r="E236" s="97" t="str">
        <f>IF(C236="","",IFERROR(SUMIFS(tbLancamentos[Meta tempo reparo],tbLancamentos[Equipamento],$C236,tbLancamentos[Momento da falha],"&gt;="&amp;$C$7,tbLancamentos[Momento da falha],"&lt;="&amp;$D$7),""))</f>
        <v/>
      </c>
      <c r="F236" s="97" t="str">
        <f>IF(C236="","",IFERROR(SUMIFS(tbLancamentos[Tempo devido],tbLancamentos[Equipamento],$C236,tbLancamentos[Momento da falha],"&gt;="&amp;$C$7,tbLancamentos[Momento da falha],"&lt;="&amp;$D$7),""))</f>
        <v/>
      </c>
      <c r="G23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6" s="127" t="str">
        <f t="shared" si="5"/>
        <v/>
      </c>
    </row>
    <row r="237" spans="2:9" ht="20.100000000000001" customHeight="1" x14ac:dyDescent="0.25">
      <c r="B237" s="94">
        <f>CadEqu!B233</f>
        <v>227</v>
      </c>
      <c r="C237" s="94" t="str">
        <f>IF(CadEqu!F233="","",CadEqu!F233)</f>
        <v/>
      </c>
      <c r="D237" s="97" t="str">
        <f>IF(C237="","",IFERROR(IF(SUMIFS(tbLancamentos[Tempo indisponível],tbLancamentos[Equipamento],$C237,tbLancamentos[Momento da falha],"&gt;="&amp;$C$7,tbLancamentos[Momento da falha],"&lt;="&amp;$D$7)&gt;$E$7,$E$7,SUMIFS(tbLancamentos[Tempo indisponível],tbLancamentos[Equipamento],$C237,tbLancamentos[Momento da falha],"&gt;="&amp;$C$7,tbLancamentos[Momento da falha],"&lt;="&amp;$D$7)),""))</f>
        <v/>
      </c>
      <c r="E237" s="97" t="str">
        <f>IF(C237="","",IFERROR(SUMIFS(tbLancamentos[Meta tempo reparo],tbLancamentos[Equipamento],$C237,tbLancamentos[Momento da falha],"&gt;="&amp;$C$7,tbLancamentos[Momento da falha],"&lt;="&amp;$D$7),""))</f>
        <v/>
      </c>
      <c r="F237" s="97" t="str">
        <f>IF(C237="","",IFERROR(SUMIFS(tbLancamentos[Tempo devido],tbLancamentos[Equipamento],$C237,tbLancamentos[Momento da falha],"&gt;="&amp;$C$7,tbLancamentos[Momento da falha],"&lt;="&amp;$D$7),""))</f>
        <v/>
      </c>
      <c r="G23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7" s="127" t="str">
        <f t="shared" si="5"/>
        <v/>
      </c>
    </row>
    <row r="238" spans="2:9" ht="20.100000000000001" customHeight="1" x14ac:dyDescent="0.25">
      <c r="B238" s="94">
        <f>CadEqu!B234</f>
        <v>228</v>
      </c>
      <c r="C238" s="94" t="str">
        <f>IF(CadEqu!F234="","",CadEqu!F234)</f>
        <v/>
      </c>
      <c r="D238" s="97" t="str">
        <f>IF(C238="","",IFERROR(IF(SUMIFS(tbLancamentos[Tempo indisponível],tbLancamentos[Equipamento],$C238,tbLancamentos[Momento da falha],"&gt;="&amp;$C$7,tbLancamentos[Momento da falha],"&lt;="&amp;$D$7)&gt;$E$7,$E$7,SUMIFS(tbLancamentos[Tempo indisponível],tbLancamentos[Equipamento],$C238,tbLancamentos[Momento da falha],"&gt;="&amp;$C$7,tbLancamentos[Momento da falha],"&lt;="&amp;$D$7)),""))</f>
        <v/>
      </c>
      <c r="E238" s="97" t="str">
        <f>IF(C238="","",IFERROR(SUMIFS(tbLancamentos[Meta tempo reparo],tbLancamentos[Equipamento],$C238,tbLancamentos[Momento da falha],"&gt;="&amp;$C$7,tbLancamentos[Momento da falha],"&lt;="&amp;$D$7),""))</f>
        <v/>
      </c>
      <c r="F238" s="97" t="str">
        <f>IF(C238="","",IFERROR(SUMIFS(tbLancamentos[Tempo devido],tbLancamentos[Equipamento],$C238,tbLancamentos[Momento da falha],"&gt;="&amp;$C$7,tbLancamentos[Momento da falha],"&lt;="&amp;$D$7),""))</f>
        <v/>
      </c>
      <c r="G23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8" s="127" t="str">
        <f t="shared" si="5"/>
        <v/>
      </c>
    </row>
    <row r="239" spans="2:9" ht="20.100000000000001" customHeight="1" x14ac:dyDescent="0.25">
      <c r="B239" s="94">
        <f>CadEqu!B235</f>
        <v>229</v>
      </c>
      <c r="C239" s="94" t="str">
        <f>IF(CadEqu!F235="","",CadEqu!F235)</f>
        <v/>
      </c>
      <c r="D239" s="97" t="str">
        <f>IF(C239="","",IFERROR(IF(SUMIFS(tbLancamentos[Tempo indisponível],tbLancamentos[Equipamento],$C239,tbLancamentos[Momento da falha],"&gt;="&amp;$C$7,tbLancamentos[Momento da falha],"&lt;="&amp;$D$7)&gt;$E$7,$E$7,SUMIFS(tbLancamentos[Tempo indisponível],tbLancamentos[Equipamento],$C239,tbLancamentos[Momento da falha],"&gt;="&amp;$C$7,tbLancamentos[Momento da falha],"&lt;="&amp;$D$7)),""))</f>
        <v/>
      </c>
      <c r="E239" s="97" t="str">
        <f>IF(C239="","",IFERROR(SUMIFS(tbLancamentos[Meta tempo reparo],tbLancamentos[Equipamento],$C239,tbLancamentos[Momento da falha],"&gt;="&amp;$C$7,tbLancamentos[Momento da falha],"&lt;="&amp;$D$7),""))</f>
        <v/>
      </c>
      <c r="F239" s="97" t="str">
        <f>IF(C239="","",IFERROR(SUMIFS(tbLancamentos[Tempo devido],tbLancamentos[Equipamento],$C239,tbLancamentos[Momento da falha],"&gt;="&amp;$C$7,tbLancamentos[Momento da falha],"&lt;="&amp;$D$7),""))</f>
        <v/>
      </c>
      <c r="G23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3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39" s="127" t="str">
        <f t="shared" si="5"/>
        <v/>
      </c>
    </row>
    <row r="240" spans="2:9" ht="20.100000000000001" customHeight="1" x14ac:dyDescent="0.25">
      <c r="B240" s="94">
        <f>CadEqu!B236</f>
        <v>230</v>
      </c>
      <c r="C240" s="94" t="str">
        <f>IF(CadEqu!F236="","",CadEqu!F236)</f>
        <v/>
      </c>
      <c r="D240" s="97" t="str">
        <f>IF(C240="","",IFERROR(IF(SUMIFS(tbLancamentos[Tempo indisponível],tbLancamentos[Equipamento],$C240,tbLancamentos[Momento da falha],"&gt;="&amp;$C$7,tbLancamentos[Momento da falha],"&lt;="&amp;$D$7)&gt;$E$7,$E$7,SUMIFS(tbLancamentos[Tempo indisponível],tbLancamentos[Equipamento],$C240,tbLancamentos[Momento da falha],"&gt;="&amp;$C$7,tbLancamentos[Momento da falha],"&lt;="&amp;$D$7)),""))</f>
        <v/>
      </c>
      <c r="E240" s="97" t="str">
        <f>IF(C240="","",IFERROR(SUMIFS(tbLancamentos[Meta tempo reparo],tbLancamentos[Equipamento],$C240,tbLancamentos[Momento da falha],"&gt;="&amp;$C$7,tbLancamentos[Momento da falha],"&lt;="&amp;$D$7),""))</f>
        <v/>
      </c>
      <c r="F240" s="97" t="str">
        <f>IF(C240="","",IFERROR(SUMIFS(tbLancamentos[Tempo devido],tbLancamentos[Equipamento],$C240,tbLancamentos[Momento da falha],"&gt;="&amp;$C$7,tbLancamentos[Momento da falha],"&lt;="&amp;$D$7),""))</f>
        <v/>
      </c>
      <c r="G24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0" s="127" t="str">
        <f t="shared" si="5"/>
        <v/>
      </c>
    </row>
    <row r="241" spans="2:9" ht="20.100000000000001" customHeight="1" x14ac:dyDescent="0.25">
      <c r="B241" s="94">
        <f>CadEqu!B237</f>
        <v>231</v>
      </c>
      <c r="C241" s="94" t="str">
        <f>IF(CadEqu!F237="","",CadEqu!F237)</f>
        <v/>
      </c>
      <c r="D241" s="97" t="str">
        <f>IF(C241="","",IFERROR(IF(SUMIFS(tbLancamentos[Tempo indisponível],tbLancamentos[Equipamento],$C241,tbLancamentos[Momento da falha],"&gt;="&amp;$C$7,tbLancamentos[Momento da falha],"&lt;="&amp;$D$7)&gt;$E$7,$E$7,SUMIFS(tbLancamentos[Tempo indisponível],tbLancamentos[Equipamento],$C241,tbLancamentos[Momento da falha],"&gt;="&amp;$C$7,tbLancamentos[Momento da falha],"&lt;="&amp;$D$7)),""))</f>
        <v/>
      </c>
      <c r="E241" s="97" t="str">
        <f>IF(C241="","",IFERROR(SUMIFS(tbLancamentos[Meta tempo reparo],tbLancamentos[Equipamento],$C241,tbLancamentos[Momento da falha],"&gt;="&amp;$C$7,tbLancamentos[Momento da falha],"&lt;="&amp;$D$7),""))</f>
        <v/>
      </c>
      <c r="F241" s="97" t="str">
        <f>IF(C241="","",IFERROR(SUMIFS(tbLancamentos[Tempo devido],tbLancamentos[Equipamento],$C241,tbLancamentos[Momento da falha],"&gt;="&amp;$C$7,tbLancamentos[Momento da falha],"&lt;="&amp;$D$7),""))</f>
        <v/>
      </c>
      <c r="G24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1" s="127" t="str">
        <f t="shared" si="5"/>
        <v/>
      </c>
    </row>
    <row r="242" spans="2:9" ht="20.100000000000001" customHeight="1" x14ac:dyDescent="0.25">
      <c r="B242" s="94">
        <f>CadEqu!B238</f>
        <v>232</v>
      </c>
      <c r="C242" s="94" t="str">
        <f>IF(CadEqu!F238="","",CadEqu!F238)</f>
        <v/>
      </c>
      <c r="D242" s="97" t="str">
        <f>IF(C242="","",IFERROR(IF(SUMIFS(tbLancamentos[Tempo indisponível],tbLancamentos[Equipamento],$C242,tbLancamentos[Momento da falha],"&gt;="&amp;$C$7,tbLancamentos[Momento da falha],"&lt;="&amp;$D$7)&gt;$E$7,$E$7,SUMIFS(tbLancamentos[Tempo indisponível],tbLancamentos[Equipamento],$C242,tbLancamentos[Momento da falha],"&gt;="&amp;$C$7,tbLancamentos[Momento da falha],"&lt;="&amp;$D$7)),""))</f>
        <v/>
      </c>
      <c r="E242" s="97" t="str">
        <f>IF(C242="","",IFERROR(SUMIFS(tbLancamentos[Meta tempo reparo],tbLancamentos[Equipamento],$C242,tbLancamentos[Momento da falha],"&gt;="&amp;$C$7,tbLancamentos[Momento da falha],"&lt;="&amp;$D$7),""))</f>
        <v/>
      </c>
      <c r="F242" s="97" t="str">
        <f>IF(C242="","",IFERROR(SUMIFS(tbLancamentos[Tempo devido],tbLancamentos[Equipamento],$C242,tbLancamentos[Momento da falha],"&gt;="&amp;$C$7,tbLancamentos[Momento da falha],"&lt;="&amp;$D$7),""))</f>
        <v/>
      </c>
      <c r="G24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2" s="127" t="str">
        <f t="shared" si="5"/>
        <v/>
      </c>
    </row>
    <row r="243" spans="2:9" ht="20.100000000000001" customHeight="1" x14ac:dyDescent="0.25">
      <c r="B243" s="94">
        <f>CadEqu!B239</f>
        <v>233</v>
      </c>
      <c r="C243" s="94" t="str">
        <f>IF(CadEqu!F239="","",CadEqu!F239)</f>
        <v/>
      </c>
      <c r="D243" s="97" t="str">
        <f>IF(C243="","",IFERROR(IF(SUMIFS(tbLancamentos[Tempo indisponível],tbLancamentos[Equipamento],$C243,tbLancamentos[Momento da falha],"&gt;="&amp;$C$7,tbLancamentos[Momento da falha],"&lt;="&amp;$D$7)&gt;$E$7,$E$7,SUMIFS(tbLancamentos[Tempo indisponível],tbLancamentos[Equipamento],$C243,tbLancamentos[Momento da falha],"&gt;="&amp;$C$7,tbLancamentos[Momento da falha],"&lt;="&amp;$D$7)),""))</f>
        <v/>
      </c>
      <c r="E243" s="97" t="str">
        <f>IF(C243="","",IFERROR(SUMIFS(tbLancamentos[Meta tempo reparo],tbLancamentos[Equipamento],$C243,tbLancamentos[Momento da falha],"&gt;="&amp;$C$7,tbLancamentos[Momento da falha],"&lt;="&amp;$D$7),""))</f>
        <v/>
      </c>
      <c r="F243" s="97" t="str">
        <f>IF(C243="","",IFERROR(SUMIFS(tbLancamentos[Tempo devido],tbLancamentos[Equipamento],$C243,tbLancamentos[Momento da falha],"&gt;="&amp;$C$7,tbLancamentos[Momento da falha],"&lt;="&amp;$D$7),""))</f>
        <v/>
      </c>
      <c r="G24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3" s="127" t="str">
        <f t="shared" si="5"/>
        <v/>
      </c>
    </row>
    <row r="244" spans="2:9" ht="20.100000000000001" customHeight="1" x14ac:dyDescent="0.25">
      <c r="B244" s="94">
        <f>CadEqu!B240</f>
        <v>234</v>
      </c>
      <c r="C244" s="94" t="str">
        <f>IF(CadEqu!F240="","",CadEqu!F240)</f>
        <v/>
      </c>
      <c r="D244" s="97" t="str">
        <f>IF(C244="","",IFERROR(IF(SUMIFS(tbLancamentos[Tempo indisponível],tbLancamentos[Equipamento],$C244,tbLancamentos[Momento da falha],"&gt;="&amp;$C$7,tbLancamentos[Momento da falha],"&lt;="&amp;$D$7)&gt;$E$7,$E$7,SUMIFS(tbLancamentos[Tempo indisponível],tbLancamentos[Equipamento],$C244,tbLancamentos[Momento da falha],"&gt;="&amp;$C$7,tbLancamentos[Momento da falha],"&lt;="&amp;$D$7)),""))</f>
        <v/>
      </c>
      <c r="E244" s="97" t="str">
        <f>IF(C244="","",IFERROR(SUMIFS(tbLancamentos[Meta tempo reparo],tbLancamentos[Equipamento],$C244,tbLancamentos[Momento da falha],"&gt;="&amp;$C$7,tbLancamentos[Momento da falha],"&lt;="&amp;$D$7),""))</f>
        <v/>
      </c>
      <c r="F244" s="97" t="str">
        <f>IF(C244="","",IFERROR(SUMIFS(tbLancamentos[Tempo devido],tbLancamentos[Equipamento],$C244,tbLancamentos[Momento da falha],"&gt;="&amp;$C$7,tbLancamentos[Momento da falha],"&lt;="&amp;$D$7),""))</f>
        <v/>
      </c>
      <c r="G24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4" s="127" t="str">
        <f t="shared" si="5"/>
        <v/>
      </c>
    </row>
    <row r="245" spans="2:9" ht="20.100000000000001" customHeight="1" x14ac:dyDescent="0.25">
      <c r="B245" s="94">
        <f>CadEqu!B241</f>
        <v>235</v>
      </c>
      <c r="C245" s="94" t="str">
        <f>IF(CadEqu!F241="","",CadEqu!F241)</f>
        <v/>
      </c>
      <c r="D245" s="97" t="str">
        <f>IF(C245="","",IFERROR(IF(SUMIFS(tbLancamentos[Tempo indisponível],tbLancamentos[Equipamento],$C245,tbLancamentos[Momento da falha],"&gt;="&amp;$C$7,tbLancamentos[Momento da falha],"&lt;="&amp;$D$7)&gt;$E$7,$E$7,SUMIFS(tbLancamentos[Tempo indisponível],tbLancamentos[Equipamento],$C245,tbLancamentos[Momento da falha],"&gt;="&amp;$C$7,tbLancamentos[Momento da falha],"&lt;="&amp;$D$7)),""))</f>
        <v/>
      </c>
      <c r="E245" s="97" t="str">
        <f>IF(C245="","",IFERROR(SUMIFS(tbLancamentos[Meta tempo reparo],tbLancamentos[Equipamento],$C245,tbLancamentos[Momento da falha],"&gt;="&amp;$C$7,tbLancamentos[Momento da falha],"&lt;="&amp;$D$7),""))</f>
        <v/>
      </c>
      <c r="F245" s="97" t="str">
        <f>IF(C245="","",IFERROR(SUMIFS(tbLancamentos[Tempo devido],tbLancamentos[Equipamento],$C245,tbLancamentos[Momento da falha],"&gt;="&amp;$C$7,tbLancamentos[Momento da falha],"&lt;="&amp;$D$7),""))</f>
        <v/>
      </c>
      <c r="G24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5" s="127" t="str">
        <f t="shared" si="5"/>
        <v/>
      </c>
    </row>
    <row r="246" spans="2:9" ht="20.100000000000001" customHeight="1" x14ac:dyDescent="0.25">
      <c r="B246" s="94">
        <f>CadEqu!B242</f>
        <v>236</v>
      </c>
      <c r="C246" s="94" t="str">
        <f>IF(CadEqu!F242="","",CadEqu!F242)</f>
        <v/>
      </c>
      <c r="D246" s="97" t="str">
        <f>IF(C246="","",IFERROR(IF(SUMIFS(tbLancamentos[Tempo indisponível],tbLancamentos[Equipamento],$C246,tbLancamentos[Momento da falha],"&gt;="&amp;$C$7,tbLancamentos[Momento da falha],"&lt;="&amp;$D$7)&gt;$E$7,$E$7,SUMIFS(tbLancamentos[Tempo indisponível],tbLancamentos[Equipamento],$C246,tbLancamentos[Momento da falha],"&gt;="&amp;$C$7,tbLancamentos[Momento da falha],"&lt;="&amp;$D$7)),""))</f>
        <v/>
      </c>
      <c r="E246" s="97" t="str">
        <f>IF(C246="","",IFERROR(SUMIFS(tbLancamentos[Meta tempo reparo],tbLancamentos[Equipamento],$C246,tbLancamentos[Momento da falha],"&gt;="&amp;$C$7,tbLancamentos[Momento da falha],"&lt;="&amp;$D$7),""))</f>
        <v/>
      </c>
      <c r="F246" s="97" t="str">
        <f>IF(C246="","",IFERROR(SUMIFS(tbLancamentos[Tempo devido],tbLancamentos[Equipamento],$C246,tbLancamentos[Momento da falha],"&gt;="&amp;$C$7,tbLancamentos[Momento da falha],"&lt;="&amp;$D$7),""))</f>
        <v/>
      </c>
      <c r="G24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6" s="127" t="str">
        <f t="shared" si="5"/>
        <v/>
      </c>
    </row>
    <row r="247" spans="2:9" ht="20.100000000000001" customHeight="1" x14ac:dyDescent="0.25">
      <c r="B247" s="94">
        <f>CadEqu!B243</f>
        <v>237</v>
      </c>
      <c r="C247" s="94" t="str">
        <f>IF(CadEqu!F243="","",CadEqu!F243)</f>
        <v/>
      </c>
      <c r="D247" s="97" t="str">
        <f>IF(C247="","",IFERROR(IF(SUMIFS(tbLancamentos[Tempo indisponível],tbLancamentos[Equipamento],$C247,tbLancamentos[Momento da falha],"&gt;="&amp;$C$7,tbLancamentos[Momento da falha],"&lt;="&amp;$D$7)&gt;$E$7,$E$7,SUMIFS(tbLancamentos[Tempo indisponível],tbLancamentos[Equipamento],$C247,tbLancamentos[Momento da falha],"&gt;="&amp;$C$7,tbLancamentos[Momento da falha],"&lt;="&amp;$D$7)),""))</f>
        <v/>
      </c>
      <c r="E247" s="97" t="str">
        <f>IF(C247="","",IFERROR(SUMIFS(tbLancamentos[Meta tempo reparo],tbLancamentos[Equipamento],$C247,tbLancamentos[Momento da falha],"&gt;="&amp;$C$7,tbLancamentos[Momento da falha],"&lt;="&amp;$D$7),""))</f>
        <v/>
      </c>
      <c r="F247" s="97" t="str">
        <f>IF(C247="","",IFERROR(SUMIFS(tbLancamentos[Tempo devido],tbLancamentos[Equipamento],$C247,tbLancamentos[Momento da falha],"&gt;="&amp;$C$7,tbLancamentos[Momento da falha],"&lt;="&amp;$D$7),""))</f>
        <v/>
      </c>
      <c r="G24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7" s="127" t="str">
        <f t="shared" si="5"/>
        <v/>
      </c>
    </row>
    <row r="248" spans="2:9" ht="20.100000000000001" customHeight="1" x14ac:dyDescent="0.25">
      <c r="B248" s="94">
        <f>CadEqu!B244</f>
        <v>238</v>
      </c>
      <c r="C248" s="94" t="str">
        <f>IF(CadEqu!F244="","",CadEqu!F244)</f>
        <v/>
      </c>
      <c r="D248" s="97" t="str">
        <f>IF(C248="","",IFERROR(IF(SUMIFS(tbLancamentos[Tempo indisponível],tbLancamentos[Equipamento],$C248,tbLancamentos[Momento da falha],"&gt;="&amp;$C$7,tbLancamentos[Momento da falha],"&lt;="&amp;$D$7)&gt;$E$7,$E$7,SUMIFS(tbLancamentos[Tempo indisponível],tbLancamentos[Equipamento],$C248,tbLancamentos[Momento da falha],"&gt;="&amp;$C$7,tbLancamentos[Momento da falha],"&lt;="&amp;$D$7)),""))</f>
        <v/>
      </c>
      <c r="E248" s="97" t="str">
        <f>IF(C248="","",IFERROR(SUMIFS(tbLancamentos[Meta tempo reparo],tbLancamentos[Equipamento],$C248,tbLancamentos[Momento da falha],"&gt;="&amp;$C$7,tbLancamentos[Momento da falha],"&lt;="&amp;$D$7),""))</f>
        <v/>
      </c>
      <c r="F248" s="97" t="str">
        <f>IF(C248="","",IFERROR(SUMIFS(tbLancamentos[Tempo devido],tbLancamentos[Equipamento],$C248,tbLancamentos[Momento da falha],"&gt;="&amp;$C$7,tbLancamentos[Momento da falha],"&lt;="&amp;$D$7),""))</f>
        <v/>
      </c>
      <c r="G24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8" s="127" t="str">
        <f t="shared" si="5"/>
        <v/>
      </c>
    </row>
    <row r="249" spans="2:9" ht="20.100000000000001" customHeight="1" x14ac:dyDescent="0.25">
      <c r="B249" s="94">
        <f>CadEqu!B245</f>
        <v>239</v>
      </c>
      <c r="C249" s="94" t="str">
        <f>IF(CadEqu!F245="","",CadEqu!F245)</f>
        <v/>
      </c>
      <c r="D249" s="97" t="str">
        <f>IF(C249="","",IFERROR(IF(SUMIFS(tbLancamentos[Tempo indisponível],tbLancamentos[Equipamento],$C249,tbLancamentos[Momento da falha],"&gt;="&amp;$C$7,tbLancamentos[Momento da falha],"&lt;="&amp;$D$7)&gt;$E$7,$E$7,SUMIFS(tbLancamentos[Tempo indisponível],tbLancamentos[Equipamento],$C249,tbLancamentos[Momento da falha],"&gt;="&amp;$C$7,tbLancamentos[Momento da falha],"&lt;="&amp;$D$7)),""))</f>
        <v/>
      </c>
      <c r="E249" s="97" t="str">
        <f>IF(C249="","",IFERROR(SUMIFS(tbLancamentos[Meta tempo reparo],tbLancamentos[Equipamento],$C249,tbLancamentos[Momento da falha],"&gt;="&amp;$C$7,tbLancamentos[Momento da falha],"&lt;="&amp;$D$7),""))</f>
        <v/>
      </c>
      <c r="F249" s="97" t="str">
        <f>IF(C249="","",IFERROR(SUMIFS(tbLancamentos[Tempo devido],tbLancamentos[Equipamento],$C249,tbLancamentos[Momento da falha],"&gt;="&amp;$C$7,tbLancamentos[Momento da falha],"&lt;="&amp;$D$7),""))</f>
        <v/>
      </c>
      <c r="G24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4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49" s="127" t="str">
        <f t="shared" si="5"/>
        <v/>
      </c>
    </row>
    <row r="250" spans="2:9" ht="20.100000000000001" customHeight="1" x14ac:dyDescent="0.25">
      <c r="B250" s="94">
        <f>CadEqu!B246</f>
        <v>240</v>
      </c>
      <c r="C250" s="94" t="str">
        <f>IF(CadEqu!F246="","",CadEqu!F246)</f>
        <v/>
      </c>
      <c r="D250" s="97" t="str">
        <f>IF(C250="","",IFERROR(IF(SUMIFS(tbLancamentos[Tempo indisponível],tbLancamentos[Equipamento],$C250,tbLancamentos[Momento da falha],"&gt;="&amp;$C$7,tbLancamentos[Momento da falha],"&lt;="&amp;$D$7)&gt;$E$7,$E$7,SUMIFS(tbLancamentos[Tempo indisponível],tbLancamentos[Equipamento],$C250,tbLancamentos[Momento da falha],"&gt;="&amp;$C$7,tbLancamentos[Momento da falha],"&lt;="&amp;$D$7)),""))</f>
        <v/>
      </c>
      <c r="E250" s="97" t="str">
        <f>IF(C250="","",IFERROR(SUMIFS(tbLancamentos[Meta tempo reparo],tbLancamentos[Equipamento],$C250,tbLancamentos[Momento da falha],"&gt;="&amp;$C$7,tbLancamentos[Momento da falha],"&lt;="&amp;$D$7),""))</f>
        <v/>
      </c>
      <c r="F250" s="97" t="str">
        <f>IF(C250="","",IFERROR(SUMIFS(tbLancamentos[Tempo devido],tbLancamentos[Equipamento],$C250,tbLancamentos[Momento da falha],"&gt;="&amp;$C$7,tbLancamentos[Momento da falha],"&lt;="&amp;$D$7),""))</f>
        <v/>
      </c>
      <c r="G25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0" s="127" t="str">
        <f t="shared" si="5"/>
        <v/>
      </c>
    </row>
    <row r="251" spans="2:9" ht="20.100000000000001" customHeight="1" x14ac:dyDescent="0.25">
      <c r="B251" s="94">
        <f>CadEqu!B247</f>
        <v>241</v>
      </c>
      <c r="C251" s="94" t="str">
        <f>IF(CadEqu!F247="","",CadEqu!F247)</f>
        <v/>
      </c>
      <c r="D251" s="97" t="str">
        <f>IF(C251="","",IFERROR(IF(SUMIFS(tbLancamentos[Tempo indisponível],tbLancamentos[Equipamento],$C251,tbLancamentos[Momento da falha],"&gt;="&amp;$C$7,tbLancamentos[Momento da falha],"&lt;="&amp;$D$7)&gt;$E$7,$E$7,SUMIFS(tbLancamentos[Tempo indisponível],tbLancamentos[Equipamento],$C251,tbLancamentos[Momento da falha],"&gt;="&amp;$C$7,tbLancamentos[Momento da falha],"&lt;="&amp;$D$7)),""))</f>
        <v/>
      </c>
      <c r="E251" s="97" t="str">
        <f>IF(C251="","",IFERROR(SUMIFS(tbLancamentos[Meta tempo reparo],tbLancamentos[Equipamento],$C251,tbLancamentos[Momento da falha],"&gt;="&amp;$C$7,tbLancamentos[Momento da falha],"&lt;="&amp;$D$7),""))</f>
        <v/>
      </c>
      <c r="F251" s="97" t="str">
        <f>IF(C251="","",IFERROR(SUMIFS(tbLancamentos[Tempo devido],tbLancamentos[Equipamento],$C251,tbLancamentos[Momento da falha],"&gt;="&amp;$C$7,tbLancamentos[Momento da falha],"&lt;="&amp;$D$7),""))</f>
        <v/>
      </c>
      <c r="G25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1" s="127" t="str">
        <f t="shared" si="5"/>
        <v/>
      </c>
    </row>
    <row r="252" spans="2:9" ht="20.100000000000001" customHeight="1" x14ac:dyDescent="0.25">
      <c r="B252" s="94">
        <f>CadEqu!B248</f>
        <v>242</v>
      </c>
      <c r="C252" s="94" t="str">
        <f>IF(CadEqu!F248="","",CadEqu!F248)</f>
        <v/>
      </c>
      <c r="D252" s="97" t="str">
        <f>IF(C252="","",IFERROR(IF(SUMIFS(tbLancamentos[Tempo indisponível],tbLancamentos[Equipamento],$C252,tbLancamentos[Momento da falha],"&gt;="&amp;$C$7,tbLancamentos[Momento da falha],"&lt;="&amp;$D$7)&gt;$E$7,$E$7,SUMIFS(tbLancamentos[Tempo indisponível],tbLancamentos[Equipamento],$C252,tbLancamentos[Momento da falha],"&gt;="&amp;$C$7,tbLancamentos[Momento da falha],"&lt;="&amp;$D$7)),""))</f>
        <v/>
      </c>
      <c r="E252" s="97" t="str">
        <f>IF(C252="","",IFERROR(SUMIFS(tbLancamentos[Meta tempo reparo],tbLancamentos[Equipamento],$C252,tbLancamentos[Momento da falha],"&gt;="&amp;$C$7,tbLancamentos[Momento da falha],"&lt;="&amp;$D$7),""))</f>
        <v/>
      </c>
      <c r="F252" s="97" t="str">
        <f>IF(C252="","",IFERROR(SUMIFS(tbLancamentos[Tempo devido],tbLancamentos[Equipamento],$C252,tbLancamentos[Momento da falha],"&gt;="&amp;$C$7,tbLancamentos[Momento da falha],"&lt;="&amp;$D$7),""))</f>
        <v/>
      </c>
      <c r="G25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2" s="127" t="str">
        <f t="shared" si="5"/>
        <v/>
      </c>
    </row>
    <row r="253" spans="2:9" ht="20.100000000000001" customHeight="1" x14ac:dyDescent="0.25">
      <c r="B253" s="94">
        <f>CadEqu!B249</f>
        <v>243</v>
      </c>
      <c r="C253" s="94" t="str">
        <f>IF(CadEqu!F249="","",CadEqu!F249)</f>
        <v/>
      </c>
      <c r="D253" s="97" t="str">
        <f>IF(C253="","",IFERROR(IF(SUMIFS(tbLancamentos[Tempo indisponível],tbLancamentos[Equipamento],$C253,tbLancamentos[Momento da falha],"&gt;="&amp;$C$7,tbLancamentos[Momento da falha],"&lt;="&amp;$D$7)&gt;$E$7,$E$7,SUMIFS(tbLancamentos[Tempo indisponível],tbLancamentos[Equipamento],$C253,tbLancamentos[Momento da falha],"&gt;="&amp;$C$7,tbLancamentos[Momento da falha],"&lt;="&amp;$D$7)),""))</f>
        <v/>
      </c>
      <c r="E253" s="97" t="str">
        <f>IF(C253="","",IFERROR(SUMIFS(tbLancamentos[Meta tempo reparo],tbLancamentos[Equipamento],$C253,tbLancamentos[Momento da falha],"&gt;="&amp;$C$7,tbLancamentos[Momento da falha],"&lt;="&amp;$D$7),""))</f>
        <v/>
      </c>
      <c r="F253" s="97" t="str">
        <f>IF(C253="","",IFERROR(SUMIFS(tbLancamentos[Tempo devido],tbLancamentos[Equipamento],$C253,tbLancamentos[Momento da falha],"&gt;="&amp;$C$7,tbLancamentos[Momento da falha],"&lt;="&amp;$D$7),""))</f>
        <v/>
      </c>
      <c r="G25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3" s="127" t="str">
        <f t="shared" si="5"/>
        <v/>
      </c>
    </row>
    <row r="254" spans="2:9" ht="20.100000000000001" customHeight="1" x14ac:dyDescent="0.25">
      <c r="B254" s="94">
        <f>CadEqu!B250</f>
        <v>244</v>
      </c>
      <c r="C254" s="94" t="str">
        <f>IF(CadEqu!F250="","",CadEqu!F250)</f>
        <v/>
      </c>
      <c r="D254" s="97" t="str">
        <f>IF(C254="","",IFERROR(IF(SUMIFS(tbLancamentos[Tempo indisponível],tbLancamentos[Equipamento],$C254,tbLancamentos[Momento da falha],"&gt;="&amp;$C$7,tbLancamentos[Momento da falha],"&lt;="&amp;$D$7)&gt;$E$7,$E$7,SUMIFS(tbLancamentos[Tempo indisponível],tbLancamentos[Equipamento],$C254,tbLancamentos[Momento da falha],"&gt;="&amp;$C$7,tbLancamentos[Momento da falha],"&lt;="&amp;$D$7)),""))</f>
        <v/>
      </c>
      <c r="E254" s="97" t="str">
        <f>IF(C254="","",IFERROR(SUMIFS(tbLancamentos[Meta tempo reparo],tbLancamentos[Equipamento],$C254,tbLancamentos[Momento da falha],"&gt;="&amp;$C$7,tbLancamentos[Momento da falha],"&lt;="&amp;$D$7),""))</f>
        <v/>
      </c>
      <c r="F254" s="97" t="str">
        <f>IF(C254="","",IFERROR(SUMIFS(tbLancamentos[Tempo devido],tbLancamentos[Equipamento],$C254,tbLancamentos[Momento da falha],"&gt;="&amp;$C$7,tbLancamentos[Momento da falha],"&lt;="&amp;$D$7),""))</f>
        <v/>
      </c>
      <c r="G25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4" s="127" t="str">
        <f t="shared" si="5"/>
        <v/>
      </c>
    </row>
    <row r="255" spans="2:9" ht="20.100000000000001" customHeight="1" x14ac:dyDescent="0.25">
      <c r="B255" s="94">
        <f>CadEqu!B251</f>
        <v>245</v>
      </c>
      <c r="C255" s="94" t="str">
        <f>IF(CadEqu!F251="","",CadEqu!F251)</f>
        <v/>
      </c>
      <c r="D255" s="97" t="str">
        <f>IF(C255="","",IFERROR(IF(SUMIFS(tbLancamentos[Tempo indisponível],tbLancamentos[Equipamento],$C255,tbLancamentos[Momento da falha],"&gt;="&amp;$C$7,tbLancamentos[Momento da falha],"&lt;="&amp;$D$7)&gt;$E$7,$E$7,SUMIFS(tbLancamentos[Tempo indisponível],tbLancamentos[Equipamento],$C255,tbLancamentos[Momento da falha],"&gt;="&amp;$C$7,tbLancamentos[Momento da falha],"&lt;="&amp;$D$7)),""))</f>
        <v/>
      </c>
      <c r="E255" s="97" t="str">
        <f>IF(C255="","",IFERROR(SUMIFS(tbLancamentos[Meta tempo reparo],tbLancamentos[Equipamento],$C255,tbLancamentos[Momento da falha],"&gt;="&amp;$C$7,tbLancamentos[Momento da falha],"&lt;="&amp;$D$7),""))</f>
        <v/>
      </c>
      <c r="F255" s="97" t="str">
        <f>IF(C255="","",IFERROR(SUMIFS(tbLancamentos[Tempo devido],tbLancamentos[Equipamento],$C255,tbLancamentos[Momento da falha],"&gt;="&amp;$C$7,tbLancamentos[Momento da falha],"&lt;="&amp;$D$7),""))</f>
        <v/>
      </c>
      <c r="G25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5" s="127" t="str">
        <f t="shared" si="5"/>
        <v/>
      </c>
    </row>
    <row r="256" spans="2:9" ht="20.100000000000001" customHeight="1" x14ac:dyDescent="0.25">
      <c r="B256" s="94">
        <f>CadEqu!B252</f>
        <v>246</v>
      </c>
      <c r="C256" s="94" t="str">
        <f>IF(CadEqu!F252="","",CadEqu!F252)</f>
        <v/>
      </c>
      <c r="D256" s="97" t="str">
        <f>IF(C256="","",IFERROR(IF(SUMIFS(tbLancamentos[Tempo indisponível],tbLancamentos[Equipamento],$C256,tbLancamentos[Momento da falha],"&gt;="&amp;$C$7,tbLancamentos[Momento da falha],"&lt;="&amp;$D$7)&gt;$E$7,$E$7,SUMIFS(tbLancamentos[Tempo indisponível],tbLancamentos[Equipamento],$C256,tbLancamentos[Momento da falha],"&gt;="&amp;$C$7,tbLancamentos[Momento da falha],"&lt;="&amp;$D$7)),""))</f>
        <v/>
      </c>
      <c r="E256" s="97" t="str">
        <f>IF(C256="","",IFERROR(SUMIFS(tbLancamentos[Meta tempo reparo],tbLancamentos[Equipamento],$C256,tbLancamentos[Momento da falha],"&gt;="&amp;$C$7,tbLancamentos[Momento da falha],"&lt;="&amp;$D$7),""))</f>
        <v/>
      </c>
      <c r="F256" s="97" t="str">
        <f>IF(C256="","",IFERROR(SUMIFS(tbLancamentos[Tempo devido],tbLancamentos[Equipamento],$C256,tbLancamentos[Momento da falha],"&gt;="&amp;$C$7,tbLancamentos[Momento da falha],"&lt;="&amp;$D$7),""))</f>
        <v/>
      </c>
      <c r="G25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6" s="127" t="str">
        <f t="shared" si="5"/>
        <v/>
      </c>
    </row>
    <row r="257" spans="2:9" ht="20.100000000000001" customHeight="1" x14ac:dyDescent="0.25">
      <c r="B257" s="94">
        <f>CadEqu!B253</f>
        <v>247</v>
      </c>
      <c r="C257" s="94" t="str">
        <f>IF(CadEqu!F253="","",CadEqu!F253)</f>
        <v/>
      </c>
      <c r="D257" s="97" t="str">
        <f>IF(C257="","",IFERROR(IF(SUMIFS(tbLancamentos[Tempo indisponível],tbLancamentos[Equipamento],$C257,tbLancamentos[Momento da falha],"&gt;="&amp;$C$7,tbLancamentos[Momento da falha],"&lt;="&amp;$D$7)&gt;$E$7,$E$7,SUMIFS(tbLancamentos[Tempo indisponível],tbLancamentos[Equipamento],$C257,tbLancamentos[Momento da falha],"&gt;="&amp;$C$7,tbLancamentos[Momento da falha],"&lt;="&amp;$D$7)),""))</f>
        <v/>
      </c>
      <c r="E257" s="97" t="str">
        <f>IF(C257="","",IFERROR(SUMIFS(tbLancamentos[Meta tempo reparo],tbLancamentos[Equipamento],$C257,tbLancamentos[Momento da falha],"&gt;="&amp;$C$7,tbLancamentos[Momento da falha],"&lt;="&amp;$D$7),""))</f>
        <v/>
      </c>
      <c r="F257" s="97" t="str">
        <f>IF(C257="","",IFERROR(SUMIFS(tbLancamentos[Tempo devido],tbLancamentos[Equipamento],$C257,tbLancamentos[Momento da falha],"&gt;="&amp;$C$7,tbLancamentos[Momento da falha],"&lt;="&amp;$D$7),""))</f>
        <v/>
      </c>
      <c r="G25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7" s="127" t="str">
        <f t="shared" si="5"/>
        <v/>
      </c>
    </row>
    <row r="258" spans="2:9" ht="20.100000000000001" customHeight="1" x14ac:dyDescent="0.25">
      <c r="B258" s="94">
        <f>CadEqu!B254</f>
        <v>248</v>
      </c>
      <c r="C258" s="94" t="str">
        <f>IF(CadEqu!F254="","",CadEqu!F254)</f>
        <v/>
      </c>
      <c r="D258" s="97" t="str">
        <f>IF(C258="","",IFERROR(IF(SUMIFS(tbLancamentos[Tempo indisponível],tbLancamentos[Equipamento],$C258,tbLancamentos[Momento da falha],"&gt;="&amp;$C$7,tbLancamentos[Momento da falha],"&lt;="&amp;$D$7)&gt;$E$7,$E$7,SUMIFS(tbLancamentos[Tempo indisponível],tbLancamentos[Equipamento],$C258,tbLancamentos[Momento da falha],"&gt;="&amp;$C$7,tbLancamentos[Momento da falha],"&lt;="&amp;$D$7)),""))</f>
        <v/>
      </c>
      <c r="E258" s="97" t="str">
        <f>IF(C258="","",IFERROR(SUMIFS(tbLancamentos[Meta tempo reparo],tbLancamentos[Equipamento],$C258,tbLancamentos[Momento da falha],"&gt;="&amp;$C$7,tbLancamentos[Momento da falha],"&lt;="&amp;$D$7),""))</f>
        <v/>
      </c>
      <c r="F258" s="97" t="str">
        <f>IF(C258="","",IFERROR(SUMIFS(tbLancamentos[Tempo devido],tbLancamentos[Equipamento],$C258,tbLancamentos[Momento da falha],"&gt;="&amp;$C$7,tbLancamentos[Momento da falha],"&lt;="&amp;$D$7),""))</f>
        <v/>
      </c>
      <c r="G25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8" s="127" t="str">
        <f t="shared" si="5"/>
        <v/>
      </c>
    </row>
    <row r="259" spans="2:9" ht="20.100000000000001" customHeight="1" x14ac:dyDescent="0.25">
      <c r="B259" s="94">
        <f>CadEqu!B255</f>
        <v>249</v>
      </c>
      <c r="C259" s="94" t="str">
        <f>IF(CadEqu!F255="","",CadEqu!F255)</f>
        <v/>
      </c>
      <c r="D259" s="97" t="str">
        <f>IF(C259="","",IFERROR(IF(SUMIFS(tbLancamentos[Tempo indisponível],tbLancamentos[Equipamento],$C259,tbLancamentos[Momento da falha],"&gt;="&amp;$C$7,tbLancamentos[Momento da falha],"&lt;="&amp;$D$7)&gt;$E$7,$E$7,SUMIFS(tbLancamentos[Tempo indisponível],tbLancamentos[Equipamento],$C259,tbLancamentos[Momento da falha],"&gt;="&amp;$C$7,tbLancamentos[Momento da falha],"&lt;="&amp;$D$7)),""))</f>
        <v/>
      </c>
      <c r="E259" s="97" t="str">
        <f>IF(C259="","",IFERROR(SUMIFS(tbLancamentos[Meta tempo reparo],tbLancamentos[Equipamento],$C259,tbLancamentos[Momento da falha],"&gt;="&amp;$C$7,tbLancamentos[Momento da falha],"&lt;="&amp;$D$7),""))</f>
        <v/>
      </c>
      <c r="F259" s="97" t="str">
        <f>IF(C259="","",IFERROR(SUMIFS(tbLancamentos[Tempo devido],tbLancamentos[Equipamento],$C259,tbLancamentos[Momento da falha],"&gt;="&amp;$C$7,tbLancamentos[Momento da falha],"&lt;="&amp;$D$7),""))</f>
        <v/>
      </c>
      <c r="G25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5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59" s="127" t="str">
        <f t="shared" si="5"/>
        <v/>
      </c>
    </row>
    <row r="260" spans="2:9" ht="20.100000000000001" customHeight="1" x14ac:dyDescent="0.25">
      <c r="B260" s="94">
        <f>CadEqu!B256</f>
        <v>250</v>
      </c>
      <c r="C260" s="94" t="str">
        <f>IF(CadEqu!F256="","",CadEqu!F256)</f>
        <v/>
      </c>
      <c r="D260" s="97" t="str">
        <f>IF(C260="","",IFERROR(IF(SUMIFS(tbLancamentos[Tempo indisponível],tbLancamentos[Equipamento],$C260,tbLancamentos[Momento da falha],"&gt;="&amp;$C$7,tbLancamentos[Momento da falha],"&lt;="&amp;$D$7)&gt;$E$7,$E$7,SUMIFS(tbLancamentos[Tempo indisponível],tbLancamentos[Equipamento],$C260,tbLancamentos[Momento da falha],"&gt;="&amp;$C$7,tbLancamentos[Momento da falha],"&lt;="&amp;$D$7)),""))</f>
        <v/>
      </c>
      <c r="E260" s="97" t="str">
        <f>IF(C260="","",IFERROR(SUMIFS(tbLancamentos[Meta tempo reparo],tbLancamentos[Equipamento],$C260,tbLancamentos[Momento da falha],"&gt;="&amp;$C$7,tbLancamentos[Momento da falha],"&lt;="&amp;$D$7),""))</f>
        <v/>
      </c>
      <c r="F260" s="97" t="str">
        <f>IF(C260="","",IFERROR(SUMIFS(tbLancamentos[Tempo devido],tbLancamentos[Equipamento],$C260,tbLancamentos[Momento da falha],"&gt;="&amp;$C$7,tbLancamentos[Momento da falha],"&lt;="&amp;$D$7),""))</f>
        <v/>
      </c>
      <c r="G26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0" s="127" t="str">
        <f t="shared" si="5"/>
        <v/>
      </c>
    </row>
    <row r="261" spans="2:9" ht="20.100000000000001" customHeight="1" x14ac:dyDescent="0.25">
      <c r="B261" s="94">
        <f>CadEqu!B257</f>
        <v>251</v>
      </c>
      <c r="C261" s="94" t="str">
        <f>IF(CadEqu!F257="","",CadEqu!F257)</f>
        <v/>
      </c>
      <c r="D261" s="97" t="str">
        <f>IF(C261="","",IFERROR(IF(SUMIFS(tbLancamentos[Tempo indisponível],tbLancamentos[Equipamento],$C261,tbLancamentos[Momento da falha],"&gt;="&amp;$C$7,tbLancamentos[Momento da falha],"&lt;="&amp;$D$7)&gt;$E$7,$E$7,SUMIFS(tbLancamentos[Tempo indisponível],tbLancamentos[Equipamento],$C261,tbLancamentos[Momento da falha],"&gt;="&amp;$C$7,tbLancamentos[Momento da falha],"&lt;="&amp;$D$7)),""))</f>
        <v/>
      </c>
      <c r="E261" s="97" t="str">
        <f>IF(C261="","",IFERROR(SUMIFS(tbLancamentos[Meta tempo reparo],tbLancamentos[Equipamento],$C261,tbLancamentos[Momento da falha],"&gt;="&amp;$C$7,tbLancamentos[Momento da falha],"&lt;="&amp;$D$7),""))</f>
        <v/>
      </c>
      <c r="F261" s="97" t="str">
        <f>IF(C261="","",IFERROR(SUMIFS(tbLancamentos[Tempo devido],tbLancamentos[Equipamento],$C261,tbLancamentos[Momento da falha],"&gt;="&amp;$C$7,tbLancamentos[Momento da falha],"&lt;="&amp;$D$7),""))</f>
        <v/>
      </c>
      <c r="G26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1" s="127" t="str">
        <f t="shared" si="5"/>
        <v/>
      </c>
    </row>
    <row r="262" spans="2:9" ht="20.100000000000001" customHeight="1" x14ac:dyDescent="0.25">
      <c r="B262" s="94">
        <f>CadEqu!B258</f>
        <v>252</v>
      </c>
      <c r="C262" s="94" t="str">
        <f>IF(CadEqu!F258="","",CadEqu!F258)</f>
        <v/>
      </c>
      <c r="D262" s="97" t="str">
        <f>IF(C262="","",IFERROR(IF(SUMIFS(tbLancamentos[Tempo indisponível],tbLancamentos[Equipamento],$C262,tbLancamentos[Momento da falha],"&gt;="&amp;$C$7,tbLancamentos[Momento da falha],"&lt;="&amp;$D$7)&gt;$E$7,$E$7,SUMIFS(tbLancamentos[Tempo indisponível],tbLancamentos[Equipamento],$C262,tbLancamentos[Momento da falha],"&gt;="&amp;$C$7,tbLancamentos[Momento da falha],"&lt;="&amp;$D$7)),""))</f>
        <v/>
      </c>
      <c r="E262" s="97" t="str">
        <f>IF(C262="","",IFERROR(SUMIFS(tbLancamentos[Meta tempo reparo],tbLancamentos[Equipamento],$C262,tbLancamentos[Momento da falha],"&gt;="&amp;$C$7,tbLancamentos[Momento da falha],"&lt;="&amp;$D$7),""))</f>
        <v/>
      </c>
      <c r="F262" s="97" t="str">
        <f>IF(C262="","",IFERROR(SUMIFS(tbLancamentos[Tempo devido],tbLancamentos[Equipamento],$C262,tbLancamentos[Momento da falha],"&gt;="&amp;$C$7,tbLancamentos[Momento da falha],"&lt;="&amp;$D$7),""))</f>
        <v/>
      </c>
      <c r="G26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2" s="127" t="str">
        <f t="shared" si="5"/>
        <v/>
      </c>
    </row>
    <row r="263" spans="2:9" ht="20.100000000000001" customHeight="1" x14ac:dyDescent="0.25">
      <c r="B263" s="94">
        <f>CadEqu!B259</f>
        <v>253</v>
      </c>
      <c r="C263" s="94" t="str">
        <f>IF(CadEqu!F259="","",CadEqu!F259)</f>
        <v/>
      </c>
      <c r="D263" s="97" t="str">
        <f>IF(C263="","",IFERROR(IF(SUMIFS(tbLancamentos[Tempo indisponível],tbLancamentos[Equipamento],$C263,tbLancamentos[Momento da falha],"&gt;="&amp;$C$7,tbLancamentos[Momento da falha],"&lt;="&amp;$D$7)&gt;$E$7,$E$7,SUMIFS(tbLancamentos[Tempo indisponível],tbLancamentos[Equipamento],$C263,tbLancamentos[Momento da falha],"&gt;="&amp;$C$7,tbLancamentos[Momento da falha],"&lt;="&amp;$D$7)),""))</f>
        <v/>
      </c>
      <c r="E263" s="97" t="str">
        <f>IF(C263="","",IFERROR(SUMIFS(tbLancamentos[Meta tempo reparo],tbLancamentos[Equipamento],$C263,tbLancamentos[Momento da falha],"&gt;="&amp;$C$7,tbLancamentos[Momento da falha],"&lt;="&amp;$D$7),""))</f>
        <v/>
      </c>
      <c r="F263" s="97" t="str">
        <f>IF(C263="","",IFERROR(SUMIFS(tbLancamentos[Tempo devido],tbLancamentos[Equipamento],$C263,tbLancamentos[Momento da falha],"&gt;="&amp;$C$7,tbLancamentos[Momento da falha],"&lt;="&amp;$D$7),""))</f>
        <v/>
      </c>
      <c r="G26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3" s="127" t="str">
        <f t="shared" si="5"/>
        <v/>
      </c>
    </row>
    <row r="264" spans="2:9" ht="20.100000000000001" customHeight="1" x14ac:dyDescent="0.25">
      <c r="B264" s="94">
        <f>CadEqu!B260</f>
        <v>254</v>
      </c>
      <c r="C264" s="94" t="str">
        <f>IF(CadEqu!F260="","",CadEqu!F260)</f>
        <v/>
      </c>
      <c r="D264" s="97" t="str">
        <f>IF(C264="","",IFERROR(IF(SUMIFS(tbLancamentos[Tempo indisponível],tbLancamentos[Equipamento],$C264,tbLancamentos[Momento da falha],"&gt;="&amp;$C$7,tbLancamentos[Momento da falha],"&lt;="&amp;$D$7)&gt;$E$7,$E$7,SUMIFS(tbLancamentos[Tempo indisponível],tbLancamentos[Equipamento],$C264,tbLancamentos[Momento da falha],"&gt;="&amp;$C$7,tbLancamentos[Momento da falha],"&lt;="&amp;$D$7)),""))</f>
        <v/>
      </c>
      <c r="E264" s="97" t="str">
        <f>IF(C264="","",IFERROR(SUMIFS(tbLancamentos[Meta tempo reparo],tbLancamentos[Equipamento],$C264,tbLancamentos[Momento da falha],"&gt;="&amp;$C$7,tbLancamentos[Momento da falha],"&lt;="&amp;$D$7),""))</f>
        <v/>
      </c>
      <c r="F264" s="97" t="str">
        <f>IF(C264="","",IFERROR(SUMIFS(tbLancamentos[Tempo devido],tbLancamentos[Equipamento],$C264,tbLancamentos[Momento da falha],"&gt;="&amp;$C$7,tbLancamentos[Momento da falha],"&lt;="&amp;$D$7),""))</f>
        <v/>
      </c>
      <c r="G26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4" s="127" t="str">
        <f t="shared" si="5"/>
        <v/>
      </c>
    </row>
    <row r="265" spans="2:9" ht="20.100000000000001" customHeight="1" x14ac:dyDescent="0.25">
      <c r="B265" s="94">
        <f>CadEqu!B261</f>
        <v>255</v>
      </c>
      <c r="C265" s="94" t="str">
        <f>IF(CadEqu!F261="","",CadEqu!F261)</f>
        <v/>
      </c>
      <c r="D265" s="97" t="str">
        <f>IF(C265="","",IFERROR(IF(SUMIFS(tbLancamentos[Tempo indisponível],tbLancamentos[Equipamento],$C265,tbLancamentos[Momento da falha],"&gt;="&amp;$C$7,tbLancamentos[Momento da falha],"&lt;="&amp;$D$7)&gt;$E$7,$E$7,SUMIFS(tbLancamentos[Tempo indisponível],tbLancamentos[Equipamento],$C265,tbLancamentos[Momento da falha],"&gt;="&amp;$C$7,tbLancamentos[Momento da falha],"&lt;="&amp;$D$7)),""))</f>
        <v/>
      </c>
      <c r="E265" s="97" t="str">
        <f>IF(C265="","",IFERROR(SUMIFS(tbLancamentos[Meta tempo reparo],tbLancamentos[Equipamento],$C265,tbLancamentos[Momento da falha],"&gt;="&amp;$C$7,tbLancamentos[Momento da falha],"&lt;="&amp;$D$7),""))</f>
        <v/>
      </c>
      <c r="F265" s="97" t="str">
        <f>IF(C265="","",IFERROR(SUMIFS(tbLancamentos[Tempo devido],tbLancamentos[Equipamento],$C265,tbLancamentos[Momento da falha],"&gt;="&amp;$C$7,tbLancamentos[Momento da falha],"&lt;="&amp;$D$7),""))</f>
        <v/>
      </c>
      <c r="G26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5" s="127" t="str">
        <f t="shared" si="5"/>
        <v/>
      </c>
    </row>
    <row r="266" spans="2:9" ht="20.100000000000001" customHeight="1" x14ac:dyDescent="0.25">
      <c r="B266" s="94">
        <f>CadEqu!B262</f>
        <v>256</v>
      </c>
      <c r="C266" s="94" t="str">
        <f>IF(CadEqu!F262="","",CadEqu!F262)</f>
        <v/>
      </c>
      <c r="D266" s="97" t="str">
        <f>IF(C266="","",IFERROR(IF(SUMIFS(tbLancamentos[Tempo indisponível],tbLancamentos[Equipamento],$C266,tbLancamentos[Momento da falha],"&gt;="&amp;$C$7,tbLancamentos[Momento da falha],"&lt;="&amp;$D$7)&gt;$E$7,$E$7,SUMIFS(tbLancamentos[Tempo indisponível],tbLancamentos[Equipamento],$C266,tbLancamentos[Momento da falha],"&gt;="&amp;$C$7,tbLancamentos[Momento da falha],"&lt;="&amp;$D$7)),""))</f>
        <v/>
      </c>
      <c r="E266" s="97" t="str">
        <f>IF(C266="","",IFERROR(SUMIFS(tbLancamentos[Meta tempo reparo],tbLancamentos[Equipamento],$C266,tbLancamentos[Momento da falha],"&gt;="&amp;$C$7,tbLancamentos[Momento da falha],"&lt;="&amp;$D$7),""))</f>
        <v/>
      </c>
      <c r="F266" s="97" t="str">
        <f>IF(C266="","",IFERROR(SUMIFS(tbLancamentos[Tempo devido],tbLancamentos[Equipamento],$C266,tbLancamentos[Momento da falha],"&gt;="&amp;$C$7,tbLancamentos[Momento da falha],"&lt;="&amp;$D$7),""))</f>
        <v/>
      </c>
      <c r="G26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6" s="127" t="str">
        <f t="shared" si="5"/>
        <v/>
      </c>
    </row>
    <row r="267" spans="2:9" ht="20.100000000000001" customHeight="1" x14ac:dyDescent="0.25">
      <c r="B267" s="94">
        <f>CadEqu!B263</f>
        <v>257</v>
      </c>
      <c r="C267" s="94" t="str">
        <f>IF(CadEqu!F263="","",CadEqu!F263)</f>
        <v/>
      </c>
      <c r="D267" s="97" t="str">
        <f>IF(C267="","",IFERROR(IF(SUMIFS(tbLancamentos[Tempo indisponível],tbLancamentos[Equipamento],$C267,tbLancamentos[Momento da falha],"&gt;="&amp;$C$7,tbLancamentos[Momento da falha],"&lt;="&amp;$D$7)&gt;$E$7,$E$7,SUMIFS(tbLancamentos[Tempo indisponível],tbLancamentos[Equipamento],$C267,tbLancamentos[Momento da falha],"&gt;="&amp;$C$7,tbLancamentos[Momento da falha],"&lt;="&amp;$D$7)),""))</f>
        <v/>
      </c>
      <c r="E267" s="97" t="str">
        <f>IF(C267="","",IFERROR(SUMIFS(tbLancamentos[Meta tempo reparo],tbLancamentos[Equipamento],$C267,tbLancamentos[Momento da falha],"&gt;="&amp;$C$7,tbLancamentos[Momento da falha],"&lt;="&amp;$D$7),""))</f>
        <v/>
      </c>
      <c r="F267" s="97" t="str">
        <f>IF(C267="","",IFERROR(SUMIFS(tbLancamentos[Tempo devido],tbLancamentos[Equipamento],$C267,tbLancamentos[Momento da falha],"&gt;="&amp;$C$7,tbLancamentos[Momento da falha],"&lt;="&amp;$D$7),""))</f>
        <v/>
      </c>
      <c r="G26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7" s="127" t="str">
        <f t="shared" ref="I267:I330" si="6">IF(C267="","",($E$7-(D267-E267))/$E$7)</f>
        <v/>
      </c>
    </row>
    <row r="268" spans="2:9" ht="20.100000000000001" customHeight="1" x14ac:dyDescent="0.25">
      <c r="B268" s="94">
        <f>CadEqu!B264</f>
        <v>258</v>
      </c>
      <c r="C268" s="94" t="str">
        <f>IF(CadEqu!F264="","",CadEqu!F264)</f>
        <v/>
      </c>
      <c r="D268" s="97" t="str">
        <f>IF(C268="","",IFERROR(IF(SUMIFS(tbLancamentos[Tempo indisponível],tbLancamentos[Equipamento],$C268,tbLancamentos[Momento da falha],"&gt;="&amp;$C$7,tbLancamentos[Momento da falha],"&lt;="&amp;$D$7)&gt;$E$7,$E$7,SUMIFS(tbLancamentos[Tempo indisponível],tbLancamentos[Equipamento],$C268,tbLancamentos[Momento da falha],"&gt;="&amp;$C$7,tbLancamentos[Momento da falha],"&lt;="&amp;$D$7)),""))</f>
        <v/>
      </c>
      <c r="E268" s="97" t="str">
        <f>IF(C268="","",IFERROR(SUMIFS(tbLancamentos[Meta tempo reparo],tbLancamentos[Equipamento],$C268,tbLancamentos[Momento da falha],"&gt;="&amp;$C$7,tbLancamentos[Momento da falha],"&lt;="&amp;$D$7),""))</f>
        <v/>
      </c>
      <c r="F268" s="97" t="str">
        <f>IF(C268="","",IFERROR(SUMIFS(tbLancamentos[Tempo devido],tbLancamentos[Equipamento],$C268,tbLancamentos[Momento da falha],"&gt;="&amp;$C$7,tbLancamentos[Momento da falha],"&lt;="&amp;$D$7),""))</f>
        <v/>
      </c>
      <c r="G26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8" s="127" t="str">
        <f t="shared" si="6"/>
        <v/>
      </c>
    </row>
    <row r="269" spans="2:9" ht="20.100000000000001" customHeight="1" x14ac:dyDescent="0.25">
      <c r="B269" s="94">
        <f>CadEqu!B265</f>
        <v>259</v>
      </c>
      <c r="C269" s="94" t="str">
        <f>IF(CadEqu!F265="","",CadEqu!F265)</f>
        <v/>
      </c>
      <c r="D269" s="97" t="str">
        <f>IF(C269="","",IFERROR(IF(SUMIFS(tbLancamentos[Tempo indisponível],tbLancamentos[Equipamento],$C269,tbLancamentos[Momento da falha],"&gt;="&amp;$C$7,tbLancamentos[Momento da falha],"&lt;="&amp;$D$7)&gt;$E$7,$E$7,SUMIFS(tbLancamentos[Tempo indisponível],tbLancamentos[Equipamento],$C269,tbLancamentos[Momento da falha],"&gt;="&amp;$C$7,tbLancamentos[Momento da falha],"&lt;="&amp;$D$7)),""))</f>
        <v/>
      </c>
      <c r="E269" s="97" t="str">
        <f>IF(C269="","",IFERROR(SUMIFS(tbLancamentos[Meta tempo reparo],tbLancamentos[Equipamento],$C269,tbLancamentos[Momento da falha],"&gt;="&amp;$C$7,tbLancamentos[Momento da falha],"&lt;="&amp;$D$7),""))</f>
        <v/>
      </c>
      <c r="F269" s="97" t="str">
        <f>IF(C269="","",IFERROR(SUMIFS(tbLancamentos[Tempo devido],tbLancamentos[Equipamento],$C269,tbLancamentos[Momento da falha],"&gt;="&amp;$C$7,tbLancamentos[Momento da falha],"&lt;="&amp;$D$7),""))</f>
        <v/>
      </c>
      <c r="G26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6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69" s="127" t="str">
        <f t="shared" si="6"/>
        <v/>
      </c>
    </row>
    <row r="270" spans="2:9" ht="20.100000000000001" customHeight="1" x14ac:dyDescent="0.25">
      <c r="B270" s="94">
        <f>CadEqu!B266</f>
        <v>260</v>
      </c>
      <c r="C270" s="94" t="str">
        <f>IF(CadEqu!F266="","",CadEqu!F266)</f>
        <v/>
      </c>
      <c r="D270" s="97" t="str">
        <f>IF(C270="","",IFERROR(IF(SUMIFS(tbLancamentos[Tempo indisponível],tbLancamentos[Equipamento],$C270,tbLancamentos[Momento da falha],"&gt;="&amp;$C$7,tbLancamentos[Momento da falha],"&lt;="&amp;$D$7)&gt;$E$7,$E$7,SUMIFS(tbLancamentos[Tempo indisponível],tbLancamentos[Equipamento],$C270,tbLancamentos[Momento da falha],"&gt;="&amp;$C$7,tbLancamentos[Momento da falha],"&lt;="&amp;$D$7)),""))</f>
        <v/>
      </c>
      <c r="E270" s="97" t="str">
        <f>IF(C270="","",IFERROR(SUMIFS(tbLancamentos[Meta tempo reparo],tbLancamentos[Equipamento],$C270,tbLancamentos[Momento da falha],"&gt;="&amp;$C$7,tbLancamentos[Momento da falha],"&lt;="&amp;$D$7),""))</f>
        <v/>
      </c>
      <c r="F270" s="97" t="str">
        <f>IF(C270="","",IFERROR(SUMIFS(tbLancamentos[Tempo devido],tbLancamentos[Equipamento],$C270,tbLancamentos[Momento da falha],"&gt;="&amp;$C$7,tbLancamentos[Momento da falha],"&lt;="&amp;$D$7),""))</f>
        <v/>
      </c>
      <c r="G27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0" s="127" t="str">
        <f t="shared" si="6"/>
        <v/>
      </c>
    </row>
    <row r="271" spans="2:9" ht="20.100000000000001" customHeight="1" x14ac:dyDescent="0.25">
      <c r="B271" s="94">
        <f>CadEqu!B267</f>
        <v>261</v>
      </c>
      <c r="C271" s="94" t="str">
        <f>IF(CadEqu!F267="","",CadEqu!F267)</f>
        <v/>
      </c>
      <c r="D271" s="97" t="str">
        <f>IF(C271="","",IFERROR(IF(SUMIFS(tbLancamentos[Tempo indisponível],tbLancamentos[Equipamento],$C271,tbLancamentos[Momento da falha],"&gt;="&amp;$C$7,tbLancamentos[Momento da falha],"&lt;="&amp;$D$7)&gt;$E$7,$E$7,SUMIFS(tbLancamentos[Tempo indisponível],tbLancamentos[Equipamento],$C271,tbLancamentos[Momento da falha],"&gt;="&amp;$C$7,tbLancamentos[Momento da falha],"&lt;="&amp;$D$7)),""))</f>
        <v/>
      </c>
      <c r="E271" s="97" t="str">
        <f>IF(C271="","",IFERROR(SUMIFS(tbLancamentos[Meta tempo reparo],tbLancamentos[Equipamento],$C271,tbLancamentos[Momento da falha],"&gt;="&amp;$C$7,tbLancamentos[Momento da falha],"&lt;="&amp;$D$7),""))</f>
        <v/>
      </c>
      <c r="F271" s="97" t="str">
        <f>IF(C271="","",IFERROR(SUMIFS(tbLancamentos[Tempo devido],tbLancamentos[Equipamento],$C271,tbLancamentos[Momento da falha],"&gt;="&amp;$C$7,tbLancamentos[Momento da falha],"&lt;="&amp;$D$7),""))</f>
        <v/>
      </c>
      <c r="G27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1" s="127" t="str">
        <f t="shared" si="6"/>
        <v/>
      </c>
    </row>
    <row r="272" spans="2:9" ht="20.100000000000001" customHeight="1" x14ac:dyDescent="0.25">
      <c r="B272" s="94">
        <f>CadEqu!B268</f>
        <v>262</v>
      </c>
      <c r="C272" s="94" t="str">
        <f>IF(CadEqu!F268="","",CadEqu!F268)</f>
        <v/>
      </c>
      <c r="D272" s="97" t="str">
        <f>IF(C272="","",IFERROR(IF(SUMIFS(tbLancamentos[Tempo indisponível],tbLancamentos[Equipamento],$C272,tbLancamentos[Momento da falha],"&gt;="&amp;$C$7,tbLancamentos[Momento da falha],"&lt;="&amp;$D$7)&gt;$E$7,$E$7,SUMIFS(tbLancamentos[Tempo indisponível],tbLancamentos[Equipamento],$C272,tbLancamentos[Momento da falha],"&gt;="&amp;$C$7,tbLancamentos[Momento da falha],"&lt;="&amp;$D$7)),""))</f>
        <v/>
      </c>
      <c r="E272" s="97" t="str">
        <f>IF(C272="","",IFERROR(SUMIFS(tbLancamentos[Meta tempo reparo],tbLancamentos[Equipamento],$C272,tbLancamentos[Momento da falha],"&gt;="&amp;$C$7,tbLancamentos[Momento da falha],"&lt;="&amp;$D$7),""))</f>
        <v/>
      </c>
      <c r="F272" s="97" t="str">
        <f>IF(C272="","",IFERROR(SUMIFS(tbLancamentos[Tempo devido],tbLancamentos[Equipamento],$C272,tbLancamentos[Momento da falha],"&gt;="&amp;$C$7,tbLancamentos[Momento da falha],"&lt;="&amp;$D$7),""))</f>
        <v/>
      </c>
      <c r="G27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2" s="127" t="str">
        <f t="shared" si="6"/>
        <v/>
      </c>
    </row>
    <row r="273" spans="2:9" ht="20.100000000000001" customHeight="1" x14ac:dyDescent="0.25">
      <c r="B273" s="94">
        <f>CadEqu!B269</f>
        <v>263</v>
      </c>
      <c r="C273" s="94" t="str">
        <f>IF(CadEqu!F269="","",CadEqu!F269)</f>
        <v/>
      </c>
      <c r="D273" s="97" t="str">
        <f>IF(C273="","",IFERROR(IF(SUMIFS(tbLancamentos[Tempo indisponível],tbLancamentos[Equipamento],$C273,tbLancamentos[Momento da falha],"&gt;="&amp;$C$7,tbLancamentos[Momento da falha],"&lt;="&amp;$D$7)&gt;$E$7,$E$7,SUMIFS(tbLancamentos[Tempo indisponível],tbLancamentos[Equipamento],$C273,tbLancamentos[Momento da falha],"&gt;="&amp;$C$7,tbLancamentos[Momento da falha],"&lt;="&amp;$D$7)),""))</f>
        <v/>
      </c>
      <c r="E273" s="97" t="str">
        <f>IF(C273="","",IFERROR(SUMIFS(tbLancamentos[Meta tempo reparo],tbLancamentos[Equipamento],$C273,tbLancamentos[Momento da falha],"&gt;="&amp;$C$7,tbLancamentos[Momento da falha],"&lt;="&amp;$D$7),""))</f>
        <v/>
      </c>
      <c r="F273" s="97" t="str">
        <f>IF(C273="","",IFERROR(SUMIFS(tbLancamentos[Tempo devido],tbLancamentos[Equipamento],$C273,tbLancamentos[Momento da falha],"&gt;="&amp;$C$7,tbLancamentos[Momento da falha],"&lt;="&amp;$D$7),""))</f>
        <v/>
      </c>
      <c r="G27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3" s="127" t="str">
        <f t="shared" si="6"/>
        <v/>
      </c>
    </row>
    <row r="274" spans="2:9" ht="20.100000000000001" customHeight="1" x14ac:dyDescent="0.25">
      <c r="B274" s="94">
        <f>CadEqu!B270</f>
        <v>264</v>
      </c>
      <c r="C274" s="94" t="str">
        <f>IF(CadEqu!F270="","",CadEqu!F270)</f>
        <v/>
      </c>
      <c r="D274" s="97" t="str">
        <f>IF(C274="","",IFERROR(IF(SUMIFS(tbLancamentos[Tempo indisponível],tbLancamentos[Equipamento],$C274,tbLancamentos[Momento da falha],"&gt;="&amp;$C$7,tbLancamentos[Momento da falha],"&lt;="&amp;$D$7)&gt;$E$7,$E$7,SUMIFS(tbLancamentos[Tempo indisponível],tbLancamentos[Equipamento],$C274,tbLancamentos[Momento da falha],"&gt;="&amp;$C$7,tbLancamentos[Momento da falha],"&lt;="&amp;$D$7)),""))</f>
        <v/>
      </c>
      <c r="E274" s="97" t="str">
        <f>IF(C274="","",IFERROR(SUMIFS(tbLancamentos[Meta tempo reparo],tbLancamentos[Equipamento],$C274,tbLancamentos[Momento da falha],"&gt;="&amp;$C$7,tbLancamentos[Momento da falha],"&lt;="&amp;$D$7),""))</f>
        <v/>
      </c>
      <c r="F274" s="97" t="str">
        <f>IF(C274="","",IFERROR(SUMIFS(tbLancamentos[Tempo devido],tbLancamentos[Equipamento],$C274,tbLancamentos[Momento da falha],"&gt;="&amp;$C$7,tbLancamentos[Momento da falha],"&lt;="&amp;$D$7),""))</f>
        <v/>
      </c>
      <c r="G27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4" s="127" t="str">
        <f t="shared" si="6"/>
        <v/>
      </c>
    </row>
    <row r="275" spans="2:9" ht="20.100000000000001" customHeight="1" x14ac:dyDescent="0.25">
      <c r="B275" s="94">
        <f>CadEqu!B271</f>
        <v>265</v>
      </c>
      <c r="C275" s="94" t="str">
        <f>IF(CadEqu!F271="","",CadEqu!F271)</f>
        <v/>
      </c>
      <c r="D275" s="97" t="str">
        <f>IF(C275="","",IFERROR(IF(SUMIFS(tbLancamentos[Tempo indisponível],tbLancamentos[Equipamento],$C275,tbLancamentos[Momento da falha],"&gt;="&amp;$C$7,tbLancamentos[Momento da falha],"&lt;="&amp;$D$7)&gt;$E$7,$E$7,SUMIFS(tbLancamentos[Tempo indisponível],tbLancamentos[Equipamento],$C275,tbLancamentos[Momento da falha],"&gt;="&amp;$C$7,tbLancamentos[Momento da falha],"&lt;="&amp;$D$7)),""))</f>
        <v/>
      </c>
      <c r="E275" s="97" t="str">
        <f>IF(C275="","",IFERROR(SUMIFS(tbLancamentos[Meta tempo reparo],tbLancamentos[Equipamento],$C275,tbLancamentos[Momento da falha],"&gt;="&amp;$C$7,tbLancamentos[Momento da falha],"&lt;="&amp;$D$7),""))</f>
        <v/>
      </c>
      <c r="F275" s="97" t="str">
        <f>IF(C275="","",IFERROR(SUMIFS(tbLancamentos[Tempo devido],tbLancamentos[Equipamento],$C275,tbLancamentos[Momento da falha],"&gt;="&amp;$C$7,tbLancamentos[Momento da falha],"&lt;="&amp;$D$7),""))</f>
        <v/>
      </c>
      <c r="G27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5" s="127" t="str">
        <f t="shared" si="6"/>
        <v/>
      </c>
    </row>
    <row r="276" spans="2:9" ht="20.100000000000001" customHeight="1" x14ac:dyDescent="0.25">
      <c r="B276" s="94">
        <f>CadEqu!B272</f>
        <v>266</v>
      </c>
      <c r="C276" s="94" t="str">
        <f>IF(CadEqu!F272="","",CadEqu!F272)</f>
        <v/>
      </c>
      <c r="D276" s="97" t="str">
        <f>IF(C276="","",IFERROR(IF(SUMIFS(tbLancamentos[Tempo indisponível],tbLancamentos[Equipamento],$C276,tbLancamentos[Momento da falha],"&gt;="&amp;$C$7,tbLancamentos[Momento da falha],"&lt;="&amp;$D$7)&gt;$E$7,$E$7,SUMIFS(tbLancamentos[Tempo indisponível],tbLancamentos[Equipamento],$C276,tbLancamentos[Momento da falha],"&gt;="&amp;$C$7,tbLancamentos[Momento da falha],"&lt;="&amp;$D$7)),""))</f>
        <v/>
      </c>
      <c r="E276" s="97" t="str">
        <f>IF(C276="","",IFERROR(SUMIFS(tbLancamentos[Meta tempo reparo],tbLancamentos[Equipamento],$C276,tbLancamentos[Momento da falha],"&gt;="&amp;$C$7,tbLancamentos[Momento da falha],"&lt;="&amp;$D$7),""))</f>
        <v/>
      </c>
      <c r="F276" s="97" t="str">
        <f>IF(C276="","",IFERROR(SUMIFS(tbLancamentos[Tempo devido],tbLancamentos[Equipamento],$C276,tbLancamentos[Momento da falha],"&gt;="&amp;$C$7,tbLancamentos[Momento da falha],"&lt;="&amp;$D$7),""))</f>
        <v/>
      </c>
      <c r="G27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6" s="127" t="str">
        <f t="shared" si="6"/>
        <v/>
      </c>
    </row>
    <row r="277" spans="2:9" ht="20.100000000000001" customHeight="1" x14ac:dyDescent="0.25">
      <c r="B277" s="94">
        <f>CadEqu!B273</f>
        <v>267</v>
      </c>
      <c r="C277" s="94" t="str">
        <f>IF(CadEqu!F273="","",CadEqu!F273)</f>
        <v/>
      </c>
      <c r="D277" s="97" t="str">
        <f>IF(C277="","",IFERROR(IF(SUMIFS(tbLancamentos[Tempo indisponível],tbLancamentos[Equipamento],$C277,tbLancamentos[Momento da falha],"&gt;="&amp;$C$7,tbLancamentos[Momento da falha],"&lt;="&amp;$D$7)&gt;$E$7,$E$7,SUMIFS(tbLancamentos[Tempo indisponível],tbLancamentos[Equipamento],$C277,tbLancamentos[Momento da falha],"&gt;="&amp;$C$7,tbLancamentos[Momento da falha],"&lt;="&amp;$D$7)),""))</f>
        <v/>
      </c>
      <c r="E277" s="97" t="str">
        <f>IF(C277="","",IFERROR(SUMIFS(tbLancamentos[Meta tempo reparo],tbLancamentos[Equipamento],$C277,tbLancamentos[Momento da falha],"&gt;="&amp;$C$7,tbLancamentos[Momento da falha],"&lt;="&amp;$D$7),""))</f>
        <v/>
      </c>
      <c r="F277" s="97" t="str">
        <f>IF(C277="","",IFERROR(SUMIFS(tbLancamentos[Tempo devido],tbLancamentos[Equipamento],$C277,tbLancamentos[Momento da falha],"&gt;="&amp;$C$7,tbLancamentos[Momento da falha],"&lt;="&amp;$D$7),""))</f>
        <v/>
      </c>
      <c r="G27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7" s="127" t="str">
        <f t="shared" si="6"/>
        <v/>
      </c>
    </row>
    <row r="278" spans="2:9" ht="20.100000000000001" customHeight="1" x14ac:dyDescent="0.25">
      <c r="B278" s="94">
        <f>CadEqu!B274</f>
        <v>268</v>
      </c>
      <c r="C278" s="94" t="str">
        <f>IF(CadEqu!F274="","",CadEqu!F274)</f>
        <v/>
      </c>
      <c r="D278" s="97" t="str">
        <f>IF(C278="","",IFERROR(IF(SUMIFS(tbLancamentos[Tempo indisponível],tbLancamentos[Equipamento],$C278,tbLancamentos[Momento da falha],"&gt;="&amp;$C$7,tbLancamentos[Momento da falha],"&lt;="&amp;$D$7)&gt;$E$7,$E$7,SUMIFS(tbLancamentos[Tempo indisponível],tbLancamentos[Equipamento],$C278,tbLancamentos[Momento da falha],"&gt;="&amp;$C$7,tbLancamentos[Momento da falha],"&lt;="&amp;$D$7)),""))</f>
        <v/>
      </c>
      <c r="E278" s="97" t="str">
        <f>IF(C278="","",IFERROR(SUMIFS(tbLancamentos[Meta tempo reparo],tbLancamentos[Equipamento],$C278,tbLancamentos[Momento da falha],"&gt;="&amp;$C$7,tbLancamentos[Momento da falha],"&lt;="&amp;$D$7),""))</f>
        <v/>
      </c>
      <c r="F278" s="97" t="str">
        <f>IF(C278="","",IFERROR(SUMIFS(tbLancamentos[Tempo devido],tbLancamentos[Equipamento],$C278,tbLancamentos[Momento da falha],"&gt;="&amp;$C$7,tbLancamentos[Momento da falha],"&lt;="&amp;$D$7),""))</f>
        <v/>
      </c>
      <c r="G27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8" s="127" t="str">
        <f t="shared" si="6"/>
        <v/>
      </c>
    </row>
    <row r="279" spans="2:9" ht="20.100000000000001" customHeight="1" x14ac:dyDescent="0.25">
      <c r="B279" s="94">
        <f>CadEqu!B275</f>
        <v>269</v>
      </c>
      <c r="C279" s="94" t="str">
        <f>IF(CadEqu!F275="","",CadEqu!F275)</f>
        <v/>
      </c>
      <c r="D279" s="97" t="str">
        <f>IF(C279="","",IFERROR(IF(SUMIFS(tbLancamentos[Tempo indisponível],tbLancamentos[Equipamento],$C279,tbLancamentos[Momento da falha],"&gt;="&amp;$C$7,tbLancamentos[Momento da falha],"&lt;="&amp;$D$7)&gt;$E$7,$E$7,SUMIFS(tbLancamentos[Tempo indisponível],tbLancamentos[Equipamento],$C279,tbLancamentos[Momento da falha],"&gt;="&amp;$C$7,tbLancamentos[Momento da falha],"&lt;="&amp;$D$7)),""))</f>
        <v/>
      </c>
      <c r="E279" s="97" t="str">
        <f>IF(C279="","",IFERROR(SUMIFS(tbLancamentos[Meta tempo reparo],tbLancamentos[Equipamento],$C279,tbLancamentos[Momento da falha],"&gt;="&amp;$C$7,tbLancamentos[Momento da falha],"&lt;="&amp;$D$7),""))</f>
        <v/>
      </c>
      <c r="F279" s="97" t="str">
        <f>IF(C279="","",IFERROR(SUMIFS(tbLancamentos[Tempo devido],tbLancamentos[Equipamento],$C279,tbLancamentos[Momento da falha],"&gt;="&amp;$C$7,tbLancamentos[Momento da falha],"&lt;="&amp;$D$7),""))</f>
        <v/>
      </c>
      <c r="G27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7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79" s="127" t="str">
        <f t="shared" si="6"/>
        <v/>
      </c>
    </row>
    <row r="280" spans="2:9" ht="20.100000000000001" customHeight="1" x14ac:dyDescent="0.25">
      <c r="B280" s="94">
        <f>CadEqu!B276</f>
        <v>270</v>
      </c>
      <c r="C280" s="94" t="str">
        <f>IF(CadEqu!F276="","",CadEqu!F276)</f>
        <v/>
      </c>
      <c r="D280" s="97" t="str">
        <f>IF(C280="","",IFERROR(IF(SUMIFS(tbLancamentos[Tempo indisponível],tbLancamentos[Equipamento],$C280,tbLancamentos[Momento da falha],"&gt;="&amp;$C$7,tbLancamentos[Momento da falha],"&lt;="&amp;$D$7)&gt;$E$7,$E$7,SUMIFS(tbLancamentos[Tempo indisponível],tbLancamentos[Equipamento],$C280,tbLancamentos[Momento da falha],"&gt;="&amp;$C$7,tbLancamentos[Momento da falha],"&lt;="&amp;$D$7)),""))</f>
        <v/>
      </c>
      <c r="E280" s="97" t="str">
        <f>IF(C280="","",IFERROR(SUMIFS(tbLancamentos[Meta tempo reparo],tbLancamentos[Equipamento],$C280,tbLancamentos[Momento da falha],"&gt;="&amp;$C$7,tbLancamentos[Momento da falha],"&lt;="&amp;$D$7),""))</f>
        <v/>
      </c>
      <c r="F280" s="97" t="str">
        <f>IF(C280="","",IFERROR(SUMIFS(tbLancamentos[Tempo devido],tbLancamentos[Equipamento],$C280,tbLancamentos[Momento da falha],"&gt;="&amp;$C$7,tbLancamentos[Momento da falha],"&lt;="&amp;$D$7),""))</f>
        <v/>
      </c>
      <c r="G28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0" s="127" t="str">
        <f t="shared" si="6"/>
        <v/>
      </c>
    </row>
    <row r="281" spans="2:9" ht="20.100000000000001" customHeight="1" x14ac:dyDescent="0.25">
      <c r="B281" s="94">
        <f>CadEqu!B277</f>
        <v>271</v>
      </c>
      <c r="C281" s="94" t="str">
        <f>IF(CadEqu!F277="","",CadEqu!F277)</f>
        <v/>
      </c>
      <c r="D281" s="97" t="str">
        <f>IF(C281="","",IFERROR(IF(SUMIFS(tbLancamentos[Tempo indisponível],tbLancamentos[Equipamento],$C281,tbLancamentos[Momento da falha],"&gt;="&amp;$C$7,tbLancamentos[Momento da falha],"&lt;="&amp;$D$7)&gt;$E$7,$E$7,SUMIFS(tbLancamentos[Tempo indisponível],tbLancamentos[Equipamento],$C281,tbLancamentos[Momento da falha],"&gt;="&amp;$C$7,tbLancamentos[Momento da falha],"&lt;="&amp;$D$7)),""))</f>
        <v/>
      </c>
      <c r="E281" s="97" t="str">
        <f>IF(C281="","",IFERROR(SUMIFS(tbLancamentos[Meta tempo reparo],tbLancamentos[Equipamento],$C281,tbLancamentos[Momento da falha],"&gt;="&amp;$C$7,tbLancamentos[Momento da falha],"&lt;="&amp;$D$7),""))</f>
        <v/>
      </c>
      <c r="F281" s="97" t="str">
        <f>IF(C281="","",IFERROR(SUMIFS(tbLancamentos[Tempo devido],tbLancamentos[Equipamento],$C281,tbLancamentos[Momento da falha],"&gt;="&amp;$C$7,tbLancamentos[Momento da falha],"&lt;="&amp;$D$7),""))</f>
        <v/>
      </c>
      <c r="G28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1" s="127" t="str">
        <f t="shared" si="6"/>
        <v/>
      </c>
    </row>
    <row r="282" spans="2:9" ht="20.100000000000001" customHeight="1" x14ac:dyDescent="0.25">
      <c r="B282" s="94">
        <f>CadEqu!B278</f>
        <v>272</v>
      </c>
      <c r="C282" s="94" t="str">
        <f>IF(CadEqu!F278="","",CadEqu!F278)</f>
        <v/>
      </c>
      <c r="D282" s="97" t="str">
        <f>IF(C282="","",IFERROR(IF(SUMIFS(tbLancamentos[Tempo indisponível],tbLancamentos[Equipamento],$C282,tbLancamentos[Momento da falha],"&gt;="&amp;$C$7,tbLancamentos[Momento da falha],"&lt;="&amp;$D$7)&gt;$E$7,$E$7,SUMIFS(tbLancamentos[Tempo indisponível],tbLancamentos[Equipamento],$C282,tbLancamentos[Momento da falha],"&gt;="&amp;$C$7,tbLancamentos[Momento da falha],"&lt;="&amp;$D$7)),""))</f>
        <v/>
      </c>
      <c r="E282" s="97" t="str">
        <f>IF(C282="","",IFERROR(SUMIFS(tbLancamentos[Meta tempo reparo],tbLancamentos[Equipamento],$C282,tbLancamentos[Momento da falha],"&gt;="&amp;$C$7,tbLancamentos[Momento da falha],"&lt;="&amp;$D$7),""))</f>
        <v/>
      </c>
      <c r="F282" s="97" t="str">
        <f>IF(C282="","",IFERROR(SUMIFS(tbLancamentos[Tempo devido],tbLancamentos[Equipamento],$C282,tbLancamentos[Momento da falha],"&gt;="&amp;$C$7,tbLancamentos[Momento da falha],"&lt;="&amp;$D$7),""))</f>
        <v/>
      </c>
      <c r="G28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2" s="127" t="str">
        <f t="shared" si="6"/>
        <v/>
      </c>
    </row>
    <row r="283" spans="2:9" ht="20.100000000000001" customHeight="1" x14ac:dyDescent="0.25">
      <c r="B283" s="94">
        <f>CadEqu!B279</f>
        <v>273</v>
      </c>
      <c r="C283" s="94" t="str">
        <f>IF(CadEqu!F279="","",CadEqu!F279)</f>
        <v/>
      </c>
      <c r="D283" s="97" t="str">
        <f>IF(C283="","",IFERROR(IF(SUMIFS(tbLancamentos[Tempo indisponível],tbLancamentos[Equipamento],$C283,tbLancamentos[Momento da falha],"&gt;="&amp;$C$7,tbLancamentos[Momento da falha],"&lt;="&amp;$D$7)&gt;$E$7,$E$7,SUMIFS(tbLancamentos[Tempo indisponível],tbLancamentos[Equipamento],$C283,tbLancamentos[Momento da falha],"&gt;="&amp;$C$7,tbLancamentos[Momento da falha],"&lt;="&amp;$D$7)),""))</f>
        <v/>
      </c>
      <c r="E283" s="97" t="str">
        <f>IF(C283="","",IFERROR(SUMIFS(tbLancamentos[Meta tempo reparo],tbLancamentos[Equipamento],$C283,tbLancamentos[Momento da falha],"&gt;="&amp;$C$7,tbLancamentos[Momento da falha],"&lt;="&amp;$D$7),""))</f>
        <v/>
      </c>
      <c r="F283" s="97" t="str">
        <f>IF(C283="","",IFERROR(SUMIFS(tbLancamentos[Tempo devido],tbLancamentos[Equipamento],$C283,tbLancamentos[Momento da falha],"&gt;="&amp;$C$7,tbLancamentos[Momento da falha],"&lt;="&amp;$D$7),""))</f>
        <v/>
      </c>
      <c r="G28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3" s="127" t="str">
        <f t="shared" si="6"/>
        <v/>
      </c>
    </row>
    <row r="284" spans="2:9" ht="20.100000000000001" customHeight="1" x14ac:dyDescent="0.25">
      <c r="B284" s="94">
        <f>CadEqu!B280</f>
        <v>274</v>
      </c>
      <c r="C284" s="94" t="str">
        <f>IF(CadEqu!F280="","",CadEqu!F280)</f>
        <v/>
      </c>
      <c r="D284" s="97" t="str">
        <f>IF(C284="","",IFERROR(IF(SUMIFS(tbLancamentos[Tempo indisponível],tbLancamentos[Equipamento],$C284,tbLancamentos[Momento da falha],"&gt;="&amp;$C$7,tbLancamentos[Momento da falha],"&lt;="&amp;$D$7)&gt;$E$7,$E$7,SUMIFS(tbLancamentos[Tempo indisponível],tbLancamentos[Equipamento],$C284,tbLancamentos[Momento da falha],"&gt;="&amp;$C$7,tbLancamentos[Momento da falha],"&lt;="&amp;$D$7)),""))</f>
        <v/>
      </c>
      <c r="E284" s="97" t="str">
        <f>IF(C284="","",IFERROR(SUMIFS(tbLancamentos[Meta tempo reparo],tbLancamentos[Equipamento],$C284,tbLancamentos[Momento da falha],"&gt;="&amp;$C$7,tbLancamentos[Momento da falha],"&lt;="&amp;$D$7),""))</f>
        <v/>
      </c>
      <c r="F284" s="97" t="str">
        <f>IF(C284="","",IFERROR(SUMIFS(tbLancamentos[Tempo devido],tbLancamentos[Equipamento],$C284,tbLancamentos[Momento da falha],"&gt;="&amp;$C$7,tbLancamentos[Momento da falha],"&lt;="&amp;$D$7),""))</f>
        <v/>
      </c>
      <c r="G28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4" s="127" t="str">
        <f t="shared" si="6"/>
        <v/>
      </c>
    </row>
    <row r="285" spans="2:9" ht="20.100000000000001" customHeight="1" x14ac:dyDescent="0.25">
      <c r="B285" s="94">
        <f>CadEqu!B281</f>
        <v>275</v>
      </c>
      <c r="C285" s="94" t="str">
        <f>IF(CadEqu!F281="","",CadEqu!F281)</f>
        <v/>
      </c>
      <c r="D285" s="97" t="str">
        <f>IF(C285="","",IFERROR(IF(SUMIFS(tbLancamentos[Tempo indisponível],tbLancamentos[Equipamento],$C285,tbLancamentos[Momento da falha],"&gt;="&amp;$C$7,tbLancamentos[Momento da falha],"&lt;="&amp;$D$7)&gt;$E$7,$E$7,SUMIFS(tbLancamentos[Tempo indisponível],tbLancamentos[Equipamento],$C285,tbLancamentos[Momento da falha],"&gt;="&amp;$C$7,tbLancamentos[Momento da falha],"&lt;="&amp;$D$7)),""))</f>
        <v/>
      </c>
      <c r="E285" s="97" t="str">
        <f>IF(C285="","",IFERROR(SUMIFS(tbLancamentos[Meta tempo reparo],tbLancamentos[Equipamento],$C285,tbLancamentos[Momento da falha],"&gt;="&amp;$C$7,tbLancamentos[Momento da falha],"&lt;="&amp;$D$7),""))</f>
        <v/>
      </c>
      <c r="F285" s="97" t="str">
        <f>IF(C285="","",IFERROR(SUMIFS(tbLancamentos[Tempo devido],tbLancamentos[Equipamento],$C285,tbLancamentos[Momento da falha],"&gt;="&amp;$C$7,tbLancamentos[Momento da falha],"&lt;="&amp;$D$7),""))</f>
        <v/>
      </c>
      <c r="G28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5" s="127" t="str">
        <f t="shared" si="6"/>
        <v/>
      </c>
    </row>
    <row r="286" spans="2:9" ht="20.100000000000001" customHeight="1" x14ac:dyDescent="0.25">
      <c r="B286" s="94">
        <f>CadEqu!B282</f>
        <v>276</v>
      </c>
      <c r="C286" s="94" t="str">
        <f>IF(CadEqu!F282="","",CadEqu!F282)</f>
        <v/>
      </c>
      <c r="D286" s="97" t="str">
        <f>IF(C286="","",IFERROR(IF(SUMIFS(tbLancamentos[Tempo indisponível],tbLancamentos[Equipamento],$C286,tbLancamentos[Momento da falha],"&gt;="&amp;$C$7,tbLancamentos[Momento da falha],"&lt;="&amp;$D$7)&gt;$E$7,$E$7,SUMIFS(tbLancamentos[Tempo indisponível],tbLancamentos[Equipamento],$C286,tbLancamentos[Momento da falha],"&gt;="&amp;$C$7,tbLancamentos[Momento da falha],"&lt;="&amp;$D$7)),""))</f>
        <v/>
      </c>
      <c r="E286" s="97" t="str">
        <f>IF(C286="","",IFERROR(SUMIFS(tbLancamentos[Meta tempo reparo],tbLancamentos[Equipamento],$C286,tbLancamentos[Momento da falha],"&gt;="&amp;$C$7,tbLancamentos[Momento da falha],"&lt;="&amp;$D$7),""))</f>
        <v/>
      </c>
      <c r="F286" s="97" t="str">
        <f>IF(C286="","",IFERROR(SUMIFS(tbLancamentos[Tempo devido],tbLancamentos[Equipamento],$C286,tbLancamentos[Momento da falha],"&gt;="&amp;$C$7,tbLancamentos[Momento da falha],"&lt;="&amp;$D$7),""))</f>
        <v/>
      </c>
      <c r="G28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6" s="127" t="str">
        <f t="shared" si="6"/>
        <v/>
      </c>
    </row>
    <row r="287" spans="2:9" ht="20.100000000000001" customHeight="1" x14ac:dyDescent="0.25">
      <c r="B287" s="94">
        <f>CadEqu!B283</f>
        <v>277</v>
      </c>
      <c r="C287" s="94" t="str">
        <f>IF(CadEqu!F283="","",CadEqu!F283)</f>
        <v/>
      </c>
      <c r="D287" s="97" t="str">
        <f>IF(C287="","",IFERROR(IF(SUMIFS(tbLancamentos[Tempo indisponível],tbLancamentos[Equipamento],$C287,tbLancamentos[Momento da falha],"&gt;="&amp;$C$7,tbLancamentos[Momento da falha],"&lt;="&amp;$D$7)&gt;$E$7,$E$7,SUMIFS(tbLancamentos[Tempo indisponível],tbLancamentos[Equipamento],$C287,tbLancamentos[Momento da falha],"&gt;="&amp;$C$7,tbLancamentos[Momento da falha],"&lt;="&amp;$D$7)),""))</f>
        <v/>
      </c>
      <c r="E287" s="97" t="str">
        <f>IF(C287="","",IFERROR(SUMIFS(tbLancamentos[Meta tempo reparo],tbLancamentos[Equipamento],$C287,tbLancamentos[Momento da falha],"&gt;="&amp;$C$7,tbLancamentos[Momento da falha],"&lt;="&amp;$D$7),""))</f>
        <v/>
      </c>
      <c r="F287" s="97" t="str">
        <f>IF(C287="","",IFERROR(SUMIFS(tbLancamentos[Tempo devido],tbLancamentos[Equipamento],$C287,tbLancamentos[Momento da falha],"&gt;="&amp;$C$7,tbLancamentos[Momento da falha],"&lt;="&amp;$D$7),""))</f>
        <v/>
      </c>
      <c r="G28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7" s="127" t="str">
        <f t="shared" si="6"/>
        <v/>
      </c>
    </row>
    <row r="288" spans="2:9" ht="20.100000000000001" customHeight="1" x14ac:dyDescent="0.25">
      <c r="B288" s="94">
        <f>CadEqu!B284</f>
        <v>278</v>
      </c>
      <c r="C288" s="94" t="str">
        <f>IF(CadEqu!F284="","",CadEqu!F284)</f>
        <v/>
      </c>
      <c r="D288" s="97" t="str">
        <f>IF(C288="","",IFERROR(IF(SUMIFS(tbLancamentos[Tempo indisponível],tbLancamentos[Equipamento],$C288,tbLancamentos[Momento da falha],"&gt;="&amp;$C$7,tbLancamentos[Momento da falha],"&lt;="&amp;$D$7)&gt;$E$7,$E$7,SUMIFS(tbLancamentos[Tempo indisponível],tbLancamentos[Equipamento],$C288,tbLancamentos[Momento da falha],"&gt;="&amp;$C$7,tbLancamentos[Momento da falha],"&lt;="&amp;$D$7)),""))</f>
        <v/>
      </c>
      <c r="E288" s="97" t="str">
        <f>IF(C288="","",IFERROR(SUMIFS(tbLancamentos[Meta tempo reparo],tbLancamentos[Equipamento],$C288,tbLancamentos[Momento da falha],"&gt;="&amp;$C$7,tbLancamentos[Momento da falha],"&lt;="&amp;$D$7),""))</f>
        <v/>
      </c>
      <c r="F288" s="97" t="str">
        <f>IF(C288="","",IFERROR(SUMIFS(tbLancamentos[Tempo devido],tbLancamentos[Equipamento],$C288,tbLancamentos[Momento da falha],"&gt;="&amp;$C$7,tbLancamentos[Momento da falha],"&lt;="&amp;$D$7),""))</f>
        <v/>
      </c>
      <c r="G28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8" s="127" t="str">
        <f t="shared" si="6"/>
        <v/>
      </c>
    </row>
    <row r="289" spans="2:9" ht="20.100000000000001" customHeight="1" x14ac:dyDescent="0.25">
      <c r="B289" s="94">
        <f>CadEqu!B285</f>
        <v>279</v>
      </c>
      <c r="C289" s="94" t="str">
        <f>IF(CadEqu!F285="","",CadEqu!F285)</f>
        <v/>
      </c>
      <c r="D289" s="97" t="str">
        <f>IF(C289="","",IFERROR(IF(SUMIFS(tbLancamentos[Tempo indisponível],tbLancamentos[Equipamento],$C289,tbLancamentos[Momento da falha],"&gt;="&amp;$C$7,tbLancamentos[Momento da falha],"&lt;="&amp;$D$7)&gt;$E$7,$E$7,SUMIFS(tbLancamentos[Tempo indisponível],tbLancamentos[Equipamento],$C289,tbLancamentos[Momento da falha],"&gt;="&amp;$C$7,tbLancamentos[Momento da falha],"&lt;="&amp;$D$7)),""))</f>
        <v/>
      </c>
      <c r="E289" s="97" t="str">
        <f>IF(C289="","",IFERROR(SUMIFS(tbLancamentos[Meta tempo reparo],tbLancamentos[Equipamento],$C289,tbLancamentos[Momento da falha],"&gt;="&amp;$C$7,tbLancamentos[Momento da falha],"&lt;="&amp;$D$7),""))</f>
        <v/>
      </c>
      <c r="F289" s="97" t="str">
        <f>IF(C289="","",IFERROR(SUMIFS(tbLancamentos[Tempo devido],tbLancamentos[Equipamento],$C289,tbLancamentos[Momento da falha],"&gt;="&amp;$C$7,tbLancamentos[Momento da falha],"&lt;="&amp;$D$7),""))</f>
        <v/>
      </c>
      <c r="G28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8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89" s="127" t="str">
        <f t="shared" si="6"/>
        <v/>
      </c>
    </row>
    <row r="290" spans="2:9" ht="20.100000000000001" customHeight="1" x14ac:dyDescent="0.25">
      <c r="B290" s="94">
        <f>CadEqu!B286</f>
        <v>280</v>
      </c>
      <c r="C290" s="94" t="str">
        <f>IF(CadEqu!F286="","",CadEqu!F286)</f>
        <v/>
      </c>
      <c r="D290" s="97" t="str">
        <f>IF(C290="","",IFERROR(IF(SUMIFS(tbLancamentos[Tempo indisponível],tbLancamentos[Equipamento],$C290,tbLancamentos[Momento da falha],"&gt;="&amp;$C$7,tbLancamentos[Momento da falha],"&lt;="&amp;$D$7)&gt;$E$7,$E$7,SUMIFS(tbLancamentos[Tempo indisponível],tbLancamentos[Equipamento],$C290,tbLancamentos[Momento da falha],"&gt;="&amp;$C$7,tbLancamentos[Momento da falha],"&lt;="&amp;$D$7)),""))</f>
        <v/>
      </c>
      <c r="E290" s="97" t="str">
        <f>IF(C290="","",IFERROR(SUMIFS(tbLancamentos[Meta tempo reparo],tbLancamentos[Equipamento],$C290,tbLancamentos[Momento da falha],"&gt;="&amp;$C$7,tbLancamentos[Momento da falha],"&lt;="&amp;$D$7),""))</f>
        <v/>
      </c>
      <c r="F290" s="97" t="str">
        <f>IF(C290="","",IFERROR(SUMIFS(tbLancamentos[Tempo devido],tbLancamentos[Equipamento],$C290,tbLancamentos[Momento da falha],"&gt;="&amp;$C$7,tbLancamentos[Momento da falha],"&lt;="&amp;$D$7),""))</f>
        <v/>
      </c>
      <c r="G29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0" s="127" t="str">
        <f t="shared" si="6"/>
        <v/>
      </c>
    </row>
    <row r="291" spans="2:9" ht="20.100000000000001" customHeight="1" x14ac:dyDescent="0.25">
      <c r="B291" s="94">
        <f>CadEqu!B287</f>
        <v>281</v>
      </c>
      <c r="C291" s="94" t="str">
        <f>IF(CadEqu!F287="","",CadEqu!F287)</f>
        <v/>
      </c>
      <c r="D291" s="97" t="str">
        <f>IF(C291="","",IFERROR(IF(SUMIFS(tbLancamentos[Tempo indisponível],tbLancamentos[Equipamento],$C291,tbLancamentos[Momento da falha],"&gt;="&amp;$C$7,tbLancamentos[Momento da falha],"&lt;="&amp;$D$7)&gt;$E$7,$E$7,SUMIFS(tbLancamentos[Tempo indisponível],tbLancamentos[Equipamento],$C291,tbLancamentos[Momento da falha],"&gt;="&amp;$C$7,tbLancamentos[Momento da falha],"&lt;="&amp;$D$7)),""))</f>
        <v/>
      </c>
      <c r="E291" s="97" t="str">
        <f>IF(C291="","",IFERROR(SUMIFS(tbLancamentos[Meta tempo reparo],tbLancamentos[Equipamento],$C291,tbLancamentos[Momento da falha],"&gt;="&amp;$C$7,tbLancamentos[Momento da falha],"&lt;="&amp;$D$7),""))</f>
        <v/>
      </c>
      <c r="F291" s="97" t="str">
        <f>IF(C291="","",IFERROR(SUMIFS(tbLancamentos[Tempo devido],tbLancamentos[Equipamento],$C291,tbLancamentos[Momento da falha],"&gt;="&amp;$C$7,tbLancamentos[Momento da falha],"&lt;="&amp;$D$7),""))</f>
        <v/>
      </c>
      <c r="G29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1" s="127" t="str">
        <f t="shared" si="6"/>
        <v/>
      </c>
    </row>
    <row r="292" spans="2:9" ht="20.100000000000001" customHeight="1" x14ac:dyDescent="0.25">
      <c r="B292" s="94">
        <f>CadEqu!B288</f>
        <v>282</v>
      </c>
      <c r="C292" s="94" t="str">
        <f>IF(CadEqu!F288="","",CadEqu!F288)</f>
        <v/>
      </c>
      <c r="D292" s="97" t="str">
        <f>IF(C292="","",IFERROR(IF(SUMIFS(tbLancamentos[Tempo indisponível],tbLancamentos[Equipamento],$C292,tbLancamentos[Momento da falha],"&gt;="&amp;$C$7,tbLancamentos[Momento da falha],"&lt;="&amp;$D$7)&gt;$E$7,$E$7,SUMIFS(tbLancamentos[Tempo indisponível],tbLancamentos[Equipamento],$C292,tbLancamentos[Momento da falha],"&gt;="&amp;$C$7,tbLancamentos[Momento da falha],"&lt;="&amp;$D$7)),""))</f>
        <v/>
      </c>
      <c r="E292" s="97" t="str">
        <f>IF(C292="","",IFERROR(SUMIFS(tbLancamentos[Meta tempo reparo],tbLancamentos[Equipamento],$C292,tbLancamentos[Momento da falha],"&gt;="&amp;$C$7,tbLancamentos[Momento da falha],"&lt;="&amp;$D$7),""))</f>
        <v/>
      </c>
      <c r="F292" s="97" t="str">
        <f>IF(C292="","",IFERROR(SUMIFS(tbLancamentos[Tempo devido],tbLancamentos[Equipamento],$C292,tbLancamentos[Momento da falha],"&gt;="&amp;$C$7,tbLancamentos[Momento da falha],"&lt;="&amp;$D$7),""))</f>
        <v/>
      </c>
      <c r="G29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2" s="127" t="str">
        <f t="shared" si="6"/>
        <v/>
      </c>
    </row>
    <row r="293" spans="2:9" ht="20.100000000000001" customHeight="1" x14ac:dyDescent="0.25">
      <c r="B293" s="94">
        <f>CadEqu!B289</f>
        <v>283</v>
      </c>
      <c r="C293" s="94" t="str">
        <f>IF(CadEqu!F289="","",CadEqu!F289)</f>
        <v/>
      </c>
      <c r="D293" s="97" t="str">
        <f>IF(C293="","",IFERROR(IF(SUMIFS(tbLancamentos[Tempo indisponível],tbLancamentos[Equipamento],$C293,tbLancamentos[Momento da falha],"&gt;="&amp;$C$7,tbLancamentos[Momento da falha],"&lt;="&amp;$D$7)&gt;$E$7,$E$7,SUMIFS(tbLancamentos[Tempo indisponível],tbLancamentos[Equipamento],$C293,tbLancamentos[Momento da falha],"&gt;="&amp;$C$7,tbLancamentos[Momento da falha],"&lt;="&amp;$D$7)),""))</f>
        <v/>
      </c>
      <c r="E293" s="97" t="str">
        <f>IF(C293="","",IFERROR(SUMIFS(tbLancamentos[Meta tempo reparo],tbLancamentos[Equipamento],$C293,tbLancamentos[Momento da falha],"&gt;="&amp;$C$7,tbLancamentos[Momento da falha],"&lt;="&amp;$D$7),""))</f>
        <v/>
      </c>
      <c r="F293" s="97" t="str">
        <f>IF(C293="","",IFERROR(SUMIFS(tbLancamentos[Tempo devido],tbLancamentos[Equipamento],$C293,tbLancamentos[Momento da falha],"&gt;="&amp;$C$7,tbLancamentos[Momento da falha],"&lt;="&amp;$D$7),""))</f>
        <v/>
      </c>
      <c r="G29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3" s="127" t="str">
        <f t="shared" si="6"/>
        <v/>
      </c>
    </row>
    <row r="294" spans="2:9" ht="20.100000000000001" customHeight="1" x14ac:dyDescent="0.25">
      <c r="B294" s="94">
        <f>CadEqu!B290</f>
        <v>284</v>
      </c>
      <c r="C294" s="94" t="str">
        <f>IF(CadEqu!F290="","",CadEqu!F290)</f>
        <v/>
      </c>
      <c r="D294" s="97" t="str">
        <f>IF(C294="","",IFERROR(IF(SUMIFS(tbLancamentos[Tempo indisponível],tbLancamentos[Equipamento],$C294,tbLancamentos[Momento da falha],"&gt;="&amp;$C$7,tbLancamentos[Momento da falha],"&lt;="&amp;$D$7)&gt;$E$7,$E$7,SUMIFS(tbLancamentos[Tempo indisponível],tbLancamentos[Equipamento],$C294,tbLancamentos[Momento da falha],"&gt;="&amp;$C$7,tbLancamentos[Momento da falha],"&lt;="&amp;$D$7)),""))</f>
        <v/>
      </c>
      <c r="E294" s="97" t="str">
        <f>IF(C294="","",IFERROR(SUMIFS(tbLancamentos[Meta tempo reparo],tbLancamentos[Equipamento],$C294,tbLancamentos[Momento da falha],"&gt;="&amp;$C$7,tbLancamentos[Momento da falha],"&lt;="&amp;$D$7),""))</f>
        <v/>
      </c>
      <c r="F294" s="97" t="str">
        <f>IF(C294="","",IFERROR(SUMIFS(tbLancamentos[Tempo devido],tbLancamentos[Equipamento],$C294,tbLancamentos[Momento da falha],"&gt;="&amp;$C$7,tbLancamentos[Momento da falha],"&lt;="&amp;$D$7),""))</f>
        <v/>
      </c>
      <c r="G29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4" s="127" t="str">
        <f t="shared" si="6"/>
        <v/>
      </c>
    </row>
    <row r="295" spans="2:9" ht="20.100000000000001" customHeight="1" x14ac:dyDescent="0.25">
      <c r="B295" s="94">
        <f>CadEqu!B291</f>
        <v>285</v>
      </c>
      <c r="C295" s="94" t="str">
        <f>IF(CadEqu!F291="","",CadEqu!F291)</f>
        <v/>
      </c>
      <c r="D295" s="97" t="str">
        <f>IF(C295="","",IFERROR(IF(SUMIFS(tbLancamentos[Tempo indisponível],tbLancamentos[Equipamento],$C295,tbLancamentos[Momento da falha],"&gt;="&amp;$C$7,tbLancamentos[Momento da falha],"&lt;="&amp;$D$7)&gt;$E$7,$E$7,SUMIFS(tbLancamentos[Tempo indisponível],tbLancamentos[Equipamento],$C295,tbLancamentos[Momento da falha],"&gt;="&amp;$C$7,tbLancamentos[Momento da falha],"&lt;="&amp;$D$7)),""))</f>
        <v/>
      </c>
      <c r="E295" s="97" t="str">
        <f>IF(C295="","",IFERROR(SUMIFS(tbLancamentos[Meta tempo reparo],tbLancamentos[Equipamento],$C295,tbLancamentos[Momento da falha],"&gt;="&amp;$C$7,tbLancamentos[Momento da falha],"&lt;="&amp;$D$7),""))</f>
        <v/>
      </c>
      <c r="F295" s="97" t="str">
        <f>IF(C295="","",IFERROR(SUMIFS(tbLancamentos[Tempo devido],tbLancamentos[Equipamento],$C295,tbLancamentos[Momento da falha],"&gt;="&amp;$C$7,tbLancamentos[Momento da falha],"&lt;="&amp;$D$7),""))</f>
        <v/>
      </c>
      <c r="G29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5" s="127" t="str">
        <f t="shared" si="6"/>
        <v/>
      </c>
    </row>
    <row r="296" spans="2:9" ht="20.100000000000001" customHeight="1" x14ac:dyDescent="0.25">
      <c r="B296" s="94">
        <f>CadEqu!B292</f>
        <v>286</v>
      </c>
      <c r="C296" s="94" t="str">
        <f>IF(CadEqu!F292="","",CadEqu!F292)</f>
        <v/>
      </c>
      <c r="D296" s="97" t="str">
        <f>IF(C296="","",IFERROR(IF(SUMIFS(tbLancamentos[Tempo indisponível],tbLancamentos[Equipamento],$C296,tbLancamentos[Momento da falha],"&gt;="&amp;$C$7,tbLancamentos[Momento da falha],"&lt;="&amp;$D$7)&gt;$E$7,$E$7,SUMIFS(tbLancamentos[Tempo indisponível],tbLancamentos[Equipamento],$C296,tbLancamentos[Momento da falha],"&gt;="&amp;$C$7,tbLancamentos[Momento da falha],"&lt;="&amp;$D$7)),""))</f>
        <v/>
      </c>
      <c r="E296" s="97" t="str">
        <f>IF(C296="","",IFERROR(SUMIFS(tbLancamentos[Meta tempo reparo],tbLancamentos[Equipamento],$C296,tbLancamentos[Momento da falha],"&gt;="&amp;$C$7,tbLancamentos[Momento da falha],"&lt;="&amp;$D$7),""))</f>
        <v/>
      </c>
      <c r="F296" s="97" t="str">
        <f>IF(C296="","",IFERROR(SUMIFS(tbLancamentos[Tempo devido],tbLancamentos[Equipamento],$C296,tbLancamentos[Momento da falha],"&gt;="&amp;$C$7,tbLancamentos[Momento da falha],"&lt;="&amp;$D$7),""))</f>
        <v/>
      </c>
      <c r="G29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6" s="127" t="str">
        <f t="shared" si="6"/>
        <v/>
      </c>
    </row>
    <row r="297" spans="2:9" ht="20.100000000000001" customHeight="1" x14ac:dyDescent="0.25">
      <c r="B297" s="94">
        <f>CadEqu!B293</f>
        <v>287</v>
      </c>
      <c r="C297" s="94" t="str">
        <f>IF(CadEqu!F293="","",CadEqu!F293)</f>
        <v/>
      </c>
      <c r="D297" s="97" t="str">
        <f>IF(C297="","",IFERROR(IF(SUMIFS(tbLancamentos[Tempo indisponível],tbLancamentos[Equipamento],$C297,tbLancamentos[Momento da falha],"&gt;="&amp;$C$7,tbLancamentos[Momento da falha],"&lt;="&amp;$D$7)&gt;$E$7,$E$7,SUMIFS(tbLancamentos[Tempo indisponível],tbLancamentos[Equipamento],$C297,tbLancamentos[Momento da falha],"&gt;="&amp;$C$7,tbLancamentos[Momento da falha],"&lt;="&amp;$D$7)),""))</f>
        <v/>
      </c>
      <c r="E297" s="97" t="str">
        <f>IF(C297="","",IFERROR(SUMIFS(tbLancamentos[Meta tempo reparo],tbLancamentos[Equipamento],$C297,tbLancamentos[Momento da falha],"&gt;="&amp;$C$7,tbLancamentos[Momento da falha],"&lt;="&amp;$D$7),""))</f>
        <v/>
      </c>
      <c r="F297" s="97" t="str">
        <f>IF(C297="","",IFERROR(SUMIFS(tbLancamentos[Tempo devido],tbLancamentos[Equipamento],$C297,tbLancamentos[Momento da falha],"&gt;="&amp;$C$7,tbLancamentos[Momento da falha],"&lt;="&amp;$D$7),""))</f>
        <v/>
      </c>
      <c r="G29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7" s="127" t="str">
        <f t="shared" si="6"/>
        <v/>
      </c>
    </row>
    <row r="298" spans="2:9" ht="20.100000000000001" customHeight="1" x14ac:dyDescent="0.25">
      <c r="B298" s="94">
        <f>CadEqu!B294</f>
        <v>288</v>
      </c>
      <c r="C298" s="94" t="str">
        <f>IF(CadEqu!F294="","",CadEqu!F294)</f>
        <v/>
      </c>
      <c r="D298" s="97" t="str">
        <f>IF(C298="","",IFERROR(IF(SUMIFS(tbLancamentos[Tempo indisponível],tbLancamentos[Equipamento],$C298,tbLancamentos[Momento da falha],"&gt;="&amp;$C$7,tbLancamentos[Momento da falha],"&lt;="&amp;$D$7)&gt;$E$7,$E$7,SUMIFS(tbLancamentos[Tempo indisponível],tbLancamentos[Equipamento],$C298,tbLancamentos[Momento da falha],"&gt;="&amp;$C$7,tbLancamentos[Momento da falha],"&lt;="&amp;$D$7)),""))</f>
        <v/>
      </c>
      <c r="E298" s="97" t="str">
        <f>IF(C298="","",IFERROR(SUMIFS(tbLancamentos[Meta tempo reparo],tbLancamentos[Equipamento],$C298,tbLancamentos[Momento da falha],"&gt;="&amp;$C$7,tbLancamentos[Momento da falha],"&lt;="&amp;$D$7),""))</f>
        <v/>
      </c>
      <c r="F298" s="97" t="str">
        <f>IF(C298="","",IFERROR(SUMIFS(tbLancamentos[Tempo devido],tbLancamentos[Equipamento],$C298,tbLancamentos[Momento da falha],"&gt;="&amp;$C$7,tbLancamentos[Momento da falha],"&lt;="&amp;$D$7),""))</f>
        <v/>
      </c>
      <c r="G29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8" s="127" t="str">
        <f t="shared" si="6"/>
        <v/>
      </c>
    </row>
    <row r="299" spans="2:9" ht="20.100000000000001" customHeight="1" x14ac:dyDescent="0.25">
      <c r="B299" s="94">
        <f>CadEqu!B295</f>
        <v>289</v>
      </c>
      <c r="C299" s="94" t="str">
        <f>IF(CadEqu!F295="","",CadEqu!F295)</f>
        <v/>
      </c>
      <c r="D299" s="97" t="str">
        <f>IF(C299="","",IFERROR(IF(SUMIFS(tbLancamentos[Tempo indisponível],tbLancamentos[Equipamento],$C299,tbLancamentos[Momento da falha],"&gt;="&amp;$C$7,tbLancamentos[Momento da falha],"&lt;="&amp;$D$7)&gt;$E$7,$E$7,SUMIFS(tbLancamentos[Tempo indisponível],tbLancamentos[Equipamento],$C299,tbLancamentos[Momento da falha],"&gt;="&amp;$C$7,tbLancamentos[Momento da falha],"&lt;="&amp;$D$7)),""))</f>
        <v/>
      </c>
      <c r="E299" s="97" t="str">
        <f>IF(C299="","",IFERROR(SUMIFS(tbLancamentos[Meta tempo reparo],tbLancamentos[Equipamento],$C299,tbLancamentos[Momento da falha],"&gt;="&amp;$C$7,tbLancamentos[Momento da falha],"&lt;="&amp;$D$7),""))</f>
        <v/>
      </c>
      <c r="F299" s="97" t="str">
        <f>IF(C299="","",IFERROR(SUMIFS(tbLancamentos[Tempo devido],tbLancamentos[Equipamento],$C299,tbLancamentos[Momento da falha],"&gt;="&amp;$C$7,tbLancamentos[Momento da falha],"&lt;="&amp;$D$7),""))</f>
        <v/>
      </c>
      <c r="G29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29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299" s="127" t="str">
        <f t="shared" si="6"/>
        <v/>
      </c>
    </row>
    <row r="300" spans="2:9" ht="20.100000000000001" customHeight="1" x14ac:dyDescent="0.25">
      <c r="B300" s="94">
        <f>CadEqu!B296</f>
        <v>290</v>
      </c>
      <c r="C300" s="94" t="str">
        <f>IF(CadEqu!F296="","",CadEqu!F296)</f>
        <v/>
      </c>
      <c r="D300" s="97" t="str">
        <f>IF(C300="","",IFERROR(IF(SUMIFS(tbLancamentos[Tempo indisponível],tbLancamentos[Equipamento],$C300,tbLancamentos[Momento da falha],"&gt;="&amp;$C$7,tbLancamentos[Momento da falha],"&lt;="&amp;$D$7)&gt;$E$7,$E$7,SUMIFS(tbLancamentos[Tempo indisponível],tbLancamentos[Equipamento],$C300,tbLancamentos[Momento da falha],"&gt;="&amp;$C$7,tbLancamentos[Momento da falha],"&lt;="&amp;$D$7)),""))</f>
        <v/>
      </c>
      <c r="E300" s="97" t="str">
        <f>IF(C300="","",IFERROR(SUMIFS(tbLancamentos[Meta tempo reparo],tbLancamentos[Equipamento],$C300,tbLancamentos[Momento da falha],"&gt;="&amp;$C$7,tbLancamentos[Momento da falha],"&lt;="&amp;$D$7),""))</f>
        <v/>
      </c>
      <c r="F300" s="97" t="str">
        <f>IF(C300="","",IFERROR(SUMIFS(tbLancamentos[Tempo devido],tbLancamentos[Equipamento],$C300,tbLancamentos[Momento da falha],"&gt;="&amp;$C$7,tbLancamentos[Momento da falha],"&lt;="&amp;$D$7),""))</f>
        <v/>
      </c>
      <c r="G30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0" s="127" t="str">
        <f t="shared" si="6"/>
        <v/>
      </c>
    </row>
    <row r="301" spans="2:9" ht="20.100000000000001" customHeight="1" x14ac:dyDescent="0.25">
      <c r="B301" s="94">
        <f>CadEqu!B297</f>
        <v>291</v>
      </c>
      <c r="C301" s="94" t="str">
        <f>IF(CadEqu!F297="","",CadEqu!F297)</f>
        <v/>
      </c>
      <c r="D301" s="97" t="str">
        <f>IF(C301="","",IFERROR(IF(SUMIFS(tbLancamentos[Tempo indisponível],tbLancamentos[Equipamento],$C301,tbLancamentos[Momento da falha],"&gt;="&amp;$C$7,tbLancamentos[Momento da falha],"&lt;="&amp;$D$7)&gt;$E$7,$E$7,SUMIFS(tbLancamentos[Tempo indisponível],tbLancamentos[Equipamento],$C301,tbLancamentos[Momento da falha],"&gt;="&amp;$C$7,tbLancamentos[Momento da falha],"&lt;="&amp;$D$7)),""))</f>
        <v/>
      </c>
      <c r="E301" s="97" t="str">
        <f>IF(C301="","",IFERROR(SUMIFS(tbLancamentos[Meta tempo reparo],tbLancamentos[Equipamento],$C301,tbLancamentos[Momento da falha],"&gt;="&amp;$C$7,tbLancamentos[Momento da falha],"&lt;="&amp;$D$7),""))</f>
        <v/>
      </c>
      <c r="F301" s="97" t="str">
        <f>IF(C301="","",IFERROR(SUMIFS(tbLancamentos[Tempo devido],tbLancamentos[Equipamento],$C301,tbLancamentos[Momento da falha],"&gt;="&amp;$C$7,tbLancamentos[Momento da falha],"&lt;="&amp;$D$7),""))</f>
        <v/>
      </c>
      <c r="G30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1" s="127" t="str">
        <f t="shared" si="6"/>
        <v/>
      </c>
    </row>
    <row r="302" spans="2:9" ht="20.100000000000001" customHeight="1" x14ac:dyDescent="0.25">
      <c r="B302" s="94">
        <f>CadEqu!B298</f>
        <v>292</v>
      </c>
      <c r="C302" s="94" t="str">
        <f>IF(CadEqu!F298="","",CadEqu!F298)</f>
        <v/>
      </c>
      <c r="D302" s="97" t="str">
        <f>IF(C302="","",IFERROR(IF(SUMIFS(tbLancamentos[Tempo indisponível],tbLancamentos[Equipamento],$C302,tbLancamentos[Momento da falha],"&gt;="&amp;$C$7,tbLancamentos[Momento da falha],"&lt;="&amp;$D$7)&gt;$E$7,$E$7,SUMIFS(tbLancamentos[Tempo indisponível],tbLancamentos[Equipamento],$C302,tbLancamentos[Momento da falha],"&gt;="&amp;$C$7,tbLancamentos[Momento da falha],"&lt;="&amp;$D$7)),""))</f>
        <v/>
      </c>
      <c r="E302" s="97" t="str">
        <f>IF(C302="","",IFERROR(SUMIFS(tbLancamentos[Meta tempo reparo],tbLancamentos[Equipamento],$C302,tbLancamentos[Momento da falha],"&gt;="&amp;$C$7,tbLancamentos[Momento da falha],"&lt;="&amp;$D$7),""))</f>
        <v/>
      </c>
      <c r="F302" s="97" t="str">
        <f>IF(C302="","",IFERROR(SUMIFS(tbLancamentos[Tempo devido],tbLancamentos[Equipamento],$C302,tbLancamentos[Momento da falha],"&gt;="&amp;$C$7,tbLancamentos[Momento da falha],"&lt;="&amp;$D$7),""))</f>
        <v/>
      </c>
      <c r="G30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2" s="127" t="str">
        <f t="shared" si="6"/>
        <v/>
      </c>
    </row>
    <row r="303" spans="2:9" ht="20.100000000000001" customHeight="1" x14ac:dyDescent="0.25">
      <c r="B303" s="94">
        <f>CadEqu!B299</f>
        <v>293</v>
      </c>
      <c r="C303" s="94" t="str">
        <f>IF(CadEqu!F299="","",CadEqu!F299)</f>
        <v/>
      </c>
      <c r="D303" s="97" t="str">
        <f>IF(C303="","",IFERROR(IF(SUMIFS(tbLancamentos[Tempo indisponível],tbLancamentos[Equipamento],$C303,tbLancamentos[Momento da falha],"&gt;="&amp;$C$7,tbLancamentos[Momento da falha],"&lt;="&amp;$D$7)&gt;$E$7,$E$7,SUMIFS(tbLancamentos[Tempo indisponível],tbLancamentos[Equipamento],$C303,tbLancamentos[Momento da falha],"&gt;="&amp;$C$7,tbLancamentos[Momento da falha],"&lt;="&amp;$D$7)),""))</f>
        <v/>
      </c>
      <c r="E303" s="97" t="str">
        <f>IF(C303="","",IFERROR(SUMIFS(tbLancamentos[Meta tempo reparo],tbLancamentos[Equipamento],$C303,tbLancamentos[Momento da falha],"&gt;="&amp;$C$7,tbLancamentos[Momento da falha],"&lt;="&amp;$D$7),""))</f>
        <v/>
      </c>
      <c r="F303" s="97" t="str">
        <f>IF(C303="","",IFERROR(SUMIFS(tbLancamentos[Tempo devido],tbLancamentos[Equipamento],$C303,tbLancamentos[Momento da falha],"&gt;="&amp;$C$7,tbLancamentos[Momento da falha],"&lt;="&amp;$D$7),""))</f>
        <v/>
      </c>
      <c r="G30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3" s="127" t="str">
        <f t="shared" si="6"/>
        <v/>
      </c>
    </row>
    <row r="304" spans="2:9" ht="20.100000000000001" customHeight="1" x14ac:dyDescent="0.25">
      <c r="B304" s="94">
        <f>CadEqu!B300</f>
        <v>294</v>
      </c>
      <c r="C304" s="94" t="str">
        <f>IF(CadEqu!F300="","",CadEqu!F300)</f>
        <v/>
      </c>
      <c r="D304" s="97" t="str">
        <f>IF(C304="","",IFERROR(IF(SUMIFS(tbLancamentos[Tempo indisponível],tbLancamentos[Equipamento],$C304,tbLancamentos[Momento da falha],"&gt;="&amp;$C$7,tbLancamentos[Momento da falha],"&lt;="&amp;$D$7)&gt;$E$7,$E$7,SUMIFS(tbLancamentos[Tempo indisponível],tbLancamentos[Equipamento],$C304,tbLancamentos[Momento da falha],"&gt;="&amp;$C$7,tbLancamentos[Momento da falha],"&lt;="&amp;$D$7)),""))</f>
        <v/>
      </c>
      <c r="E304" s="97" t="str">
        <f>IF(C304="","",IFERROR(SUMIFS(tbLancamentos[Meta tempo reparo],tbLancamentos[Equipamento],$C304,tbLancamentos[Momento da falha],"&gt;="&amp;$C$7,tbLancamentos[Momento da falha],"&lt;="&amp;$D$7),""))</f>
        <v/>
      </c>
      <c r="F304" s="97" t="str">
        <f>IF(C304="","",IFERROR(SUMIFS(tbLancamentos[Tempo devido],tbLancamentos[Equipamento],$C304,tbLancamentos[Momento da falha],"&gt;="&amp;$C$7,tbLancamentos[Momento da falha],"&lt;="&amp;$D$7),""))</f>
        <v/>
      </c>
      <c r="G30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4" s="127" t="str">
        <f t="shared" si="6"/>
        <v/>
      </c>
    </row>
    <row r="305" spans="2:9" ht="20.100000000000001" customHeight="1" x14ac:dyDescent="0.25">
      <c r="B305" s="94">
        <f>CadEqu!B301</f>
        <v>295</v>
      </c>
      <c r="C305" s="94" t="str">
        <f>IF(CadEqu!F301="","",CadEqu!F301)</f>
        <v/>
      </c>
      <c r="D305" s="97" t="str">
        <f>IF(C305="","",IFERROR(IF(SUMIFS(tbLancamentos[Tempo indisponível],tbLancamentos[Equipamento],$C305,tbLancamentos[Momento da falha],"&gt;="&amp;$C$7,tbLancamentos[Momento da falha],"&lt;="&amp;$D$7)&gt;$E$7,$E$7,SUMIFS(tbLancamentos[Tempo indisponível],tbLancamentos[Equipamento],$C305,tbLancamentos[Momento da falha],"&gt;="&amp;$C$7,tbLancamentos[Momento da falha],"&lt;="&amp;$D$7)),""))</f>
        <v/>
      </c>
      <c r="E305" s="97" t="str">
        <f>IF(C305="","",IFERROR(SUMIFS(tbLancamentos[Meta tempo reparo],tbLancamentos[Equipamento],$C305,tbLancamentos[Momento da falha],"&gt;="&amp;$C$7,tbLancamentos[Momento da falha],"&lt;="&amp;$D$7),""))</f>
        <v/>
      </c>
      <c r="F305" s="97" t="str">
        <f>IF(C305="","",IFERROR(SUMIFS(tbLancamentos[Tempo devido],tbLancamentos[Equipamento],$C305,tbLancamentos[Momento da falha],"&gt;="&amp;$C$7,tbLancamentos[Momento da falha],"&lt;="&amp;$D$7),""))</f>
        <v/>
      </c>
      <c r="G30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5" s="127" t="str">
        <f t="shared" si="6"/>
        <v/>
      </c>
    </row>
    <row r="306" spans="2:9" ht="20.100000000000001" customHeight="1" x14ac:dyDescent="0.25">
      <c r="B306" s="94">
        <f>CadEqu!B302</f>
        <v>296</v>
      </c>
      <c r="C306" s="94" t="str">
        <f>IF(CadEqu!F302="","",CadEqu!F302)</f>
        <v/>
      </c>
      <c r="D306" s="97" t="str">
        <f>IF(C306="","",IFERROR(IF(SUMIFS(tbLancamentos[Tempo indisponível],tbLancamentos[Equipamento],$C306,tbLancamentos[Momento da falha],"&gt;="&amp;$C$7,tbLancamentos[Momento da falha],"&lt;="&amp;$D$7)&gt;$E$7,$E$7,SUMIFS(tbLancamentos[Tempo indisponível],tbLancamentos[Equipamento],$C306,tbLancamentos[Momento da falha],"&gt;="&amp;$C$7,tbLancamentos[Momento da falha],"&lt;="&amp;$D$7)),""))</f>
        <v/>
      </c>
      <c r="E306" s="97" t="str">
        <f>IF(C306="","",IFERROR(SUMIFS(tbLancamentos[Meta tempo reparo],tbLancamentos[Equipamento],$C306,tbLancamentos[Momento da falha],"&gt;="&amp;$C$7,tbLancamentos[Momento da falha],"&lt;="&amp;$D$7),""))</f>
        <v/>
      </c>
      <c r="F306" s="97" t="str">
        <f>IF(C306="","",IFERROR(SUMIFS(tbLancamentos[Tempo devido],tbLancamentos[Equipamento],$C306,tbLancamentos[Momento da falha],"&gt;="&amp;$C$7,tbLancamentos[Momento da falha],"&lt;="&amp;$D$7),""))</f>
        <v/>
      </c>
      <c r="G30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6" s="127" t="str">
        <f t="shared" si="6"/>
        <v/>
      </c>
    </row>
    <row r="307" spans="2:9" ht="20.100000000000001" customHeight="1" x14ac:dyDescent="0.25">
      <c r="B307" s="94">
        <f>CadEqu!B303</f>
        <v>297</v>
      </c>
      <c r="C307" s="94" t="str">
        <f>IF(CadEqu!F303="","",CadEqu!F303)</f>
        <v/>
      </c>
      <c r="D307" s="97" t="str">
        <f>IF(C307="","",IFERROR(IF(SUMIFS(tbLancamentos[Tempo indisponível],tbLancamentos[Equipamento],$C307,tbLancamentos[Momento da falha],"&gt;="&amp;$C$7,tbLancamentos[Momento da falha],"&lt;="&amp;$D$7)&gt;$E$7,$E$7,SUMIFS(tbLancamentos[Tempo indisponível],tbLancamentos[Equipamento],$C307,tbLancamentos[Momento da falha],"&gt;="&amp;$C$7,tbLancamentos[Momento da falha],"&lt;="&amp;$D$7)),""))</f>
        <v/>
      </c>
      <c r="E307" s="97" t="str">
        <f>IF(C307="","",IFERROR(SUMIFS(tbLancamentos[Meta tempo reparo],tbLancamentos[Equipamento],$C307,tbLancamentos[Momento da falha],"&gt;="&amp;$C$7,tbLancamentos[Momento da falha],"&lt;="&amp;$D$7),""))</f>
        <v/>
      </c>
      <c r="F307" s="97" t="str">
        <f>IF(C307="","",IFERROR(SUMIFS(tbLancamentos[Tempo devido],tbLancamentos[Equipamento],$C307,tbLancamentos[Momento da falha],"&gt;="&amp;$C$7,tbLancamentos[Momento da falha],"&lt;="&amp;$D$7),""))</f>
        <v/>
      </c>
      <c r="G30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7" s="127" t="str">
        <f t="shared" si="6"/>
        <v/>
      </c>
    </row>
    <row r="308" spans="2:9" ht="20.100000000000001" customHeight="1" x14ac:dyDescent="0.25">
      <c r="B308" s="94">
        <f>CadEqu!B304</f>
        <v>298</v>
      </c>
      <c r="C308" s="94" t="str">
        <f>IF(CadEqu!F304="","",CadEqu!F304)</f>
        <v/>
      </c>
      <c r="D308" s="97" t="str">
        <f>IF(C308="","",IFERROR(IF(SUMIFS(tbLancamentos[Tempo indisponível],tbLancamentos[Equipamento],$C308,tbLancamentos[Momento da falha],"&gt;="&amp;$C$7,tbLancamentos[Momento da falha],"&lt;="&amp;$D$7)&gt;$E$7,$E$7,SUMIFS(tbLancamentos[Tempo indisponível],tbLancamentos[Equipamento],$C308,tbLancamentos[Momento da falha],"&gt;="&amp;$C$7,tbLancamentos[Momento da falha],"&lt;="&amp;$D$7)),""))</f>
        <v/>
      </c>
      <c r="E308" s="97" t="str">
        <f>IF(C308="","",IFERROR(SUMIFS(tbLancamentos[Meta tempo reparo],tbLancamentos[Equipamento],$C308,tbLancamentos[Momento da falha],"&gt;="&amp;$C$7,tbLancamentos[Momento da falha],"&lt;="&amp;$D$7),""))</f>
        <v/>
      </c>
      <c r="F308" s="97" t="str">
        <f>IF(C308="","",IFERROR(SUMIFS(tbLancamentos[Tempo devido],tbLancamentos[Equipamento],$C308,tbLancamentos[Momento da falha],"&gt;="&amp;$C$7,tbLancamentos[Momento da falha],"&lt;="&amp;$D$7),""))</f>
        <v/>
      </c>
      <c r="G30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8" s="127" t="str">
        <f t="shared" si="6"/>
        <v/>
      </c>
    </row>
    <row r="309" spans="2:9" ht="20.100000000000001" customHeight="1" x14ac:dyDescent="0.25">
      <c r="B309" s="94">
        <f>CadEqu!B305</f>
        <v>299</v>
      </c>
      <c r="C309" s="94" t="str">
        <f>IF(CadEqu!F305="","",CadEqu!F305)</f>
        <v/>
      </c>
      <c r="D309" s="97" t="str">
        <f>IF(C309="","",IFERROR(IF(SUMIFS(tbLancamentos[Tempo indisponível],tbLancamentos[Equipamento],$C309,tbLancamentos[Momento da falha],"&gt;="&amp;$C$7,tbLancamentos[Momento da falha],"&lt;="&amp;$D$7)&gt;$E$7,$E$7,SUMIFS(tbLancamentos[Tempo indisponível],tbLancamentos[Equipamento],$C309,tbLancamentos[Momento da falha],"&gt;="&amp;$C$7,tbLancamentos[Momento da falha],"&lt;="&amp;$D$7)),""))</f>
        <v/>
      </c>
      <c r="E309" s="97" t="str">
        <f>IF(C309="","",IFERROR(SUMIFS(tbLancamentos[Meta tempo reparo],tbLancamentos[Equipamento],$C309,tbLancamentos[Momento da falha],"&gt;="&amp;$C$7,tbLancamentos[Momento da falha],"&lt;="&amp;$D$7),""))</f>
        <v/>
      </c>
      <c r="F309" s="97" t="str">
        <f>IF(C309="","",IFERROR(SUMIFS(tbLancamentos[Tempo devido],tbLancamentos[Equipamento],$C309,tbLancamentos[Momento da falha],"&gt;="&amp;$C$7,tbLancamentos[Momento da falha],"&lt;="&amp;$D$7),""))</f>
        <v/>
      </c>
      <c r="G30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0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09" s="127" t="str">
        <f t="shared" si="6"/>
        <v/>
      </c>
    </row>
    <row r="310" spans="2:9" ht="20.100000000000001" customHeight="1" x14ac:dyDescent="0.25">
      <c r="B310" s="94">
        <f>CadEqu!B306</f>
        <v>300</v>
      </c>
      <c r="C310" s="94" t="str">
        <f>IF(CadEqu!F306="","",CadEqu!F306)</f>
        <v/>
      </c>
      <c r="D310" s="97" t="str">
        <f>IF(C310="","",IFERROR(IF(SUMIFS(tbLancamentos[Tempo indisponível],tbLancamentos[Equipamento],$C310,tbLancamentos[Momento da falha],"&gt;="&amp;$C$7,tbLancamentos[Momento da falha],"&lt;="&amp;$D$7)&gt;$E$7,$E$7,SUMIFS(tbLancamentos[Tempo indisponível],tbLancamentos[Equipamento],$C310,tbLancamentos[Momento da falha],"&gt;="&amp;$C$7,tbLancamentos[Momento da falha],"&lt;="&amp;$D$7)),""))</f>
        <v/>
      </c>
      <c r="E310" s="97" t="str">
        <f>IF(C310="","",IFERROR(SUMIFS(tbLancamentos[Meta tempo reparo],tbLancamentos[Equipamento],$C310,tbLancamentos[Momento da falha],"&gt;="&amp;$C$7,tbLancamentos[Momento da falha],"&lt;="&amp;$D$7),""))</f>
        <v/>
      </c>
      <c r="F310" s="97" t="str">
        <f>IF(C310="","",IFERROR(SUMIFS(tbLancamentos[Tempo devido],tbLancamentos[Equipamento],$C310,tbLancamentos[Momento da falha],"&gt;="&amp;$C$7,tbLancamentos[Momento da falha],"&lt;="&amp;$D$7),""))</f>
        <v/>
      </c>
      <c r="G31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0" s="127" t="str">
        <f t="shared" si="6"/>
        <v/>
      </c>
    </row>
    <row r="311" spans="2:9" ht="20.100000000000001" customHeight="1" x14ac:dyDescent="0.25">
      <c r="B311" s="94">
        <f>CadEqu!B307</f>
        <v>301</v>
      </c>
      <c r="C311" s="94" t="str">
        <f>IF(CadEqu!F307="","",CadEqu!F307)</f>
        <v/>
      </c>
      <c r="D311" s="97" t="str">
        <f>IF(C311="","",IFERROR(IF(SUMIFS(tbLancamentos[Tempo indisponível],tbLancamentos[Equipamento],$C311,tbLancamentos[Momento da falha],"&gt;="&amp;$C$7,tbLancamentos[Momento da falha],"&lt;="&amp;$D$7)&gt;$E$7,$E$7,SUMIFS(tbLancamentos[Tempo indisponível],tbLancamentos[Equipamento],$C311,tbLancamentos[Momento da falha],"&gt;="&amp;$C$7,tbLancamentos[Momento da falha],"&lt;="&amp;$D$7)),""))</f>
        <v/>
      </c>
      <c r="E311" s="97" t="str">
        <f>IF(C311="","",IFERROR(SUMIFS(tbLancamentos[Meta tempo reparo],tbLancamentos[Equipamento],$C311,tbLancamentos[Momento da falha],"&gt;="&amp;$C$7,tbLancamentos[Momento da falha],"&lt;="&amp;$D$7),""))</f>
        <v/>
      </c>
      <c r="F311" s="97" t="str">
        <f>IF(C311="","",IFERROR(SUMIFS(tbLancamentos[Tempo devido],tbLancamentos[Equipamento],$C311,tbLancamentos[Momento da falha],"&gt;="&amp;$C$7,tbLancamentos[Momento da falha],"&lt;="&amp;$D$7),""))</f>
        <v/>
      </c>
      <c r="G31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1" s="127" t="str">
        <f t="shared" si="6"/>
        <v/>
      </c>
    </row>
    <row r="312" spans="2:9" ht="20.100000000000001" customHeight="1" x14ac:dyDescent="0.25">
      <c r="B312" s="94">
        <f>CadEqu!B308</f>
        <v>302</v>
      </c>
      <c r="C312" s="94" t="str">
        <f>IF(CadEqu!F308="","",CadEqu!F308)</f>
        <v/>
      </c>
      <c r="D312" s="97" t="str">
        <f>IF(C312="","",IFERROR(IF(SUMIFS(tbLancamentos[Tempo indisponível],tbLancamentos[Equipamento],$C312,tbLancamentos[Momento da falha],"&gt;="&amp;$C$7,tbLancamentos[Momento da falha],"&lt;="&amp;$D$7)&gt;$E$7,$E$7,SUMIFS(tbLancamentos[Tempo indisponível],tbLancamentos[Equipamento],$C312,tbLancamentos[Momento da falha],"&gt;="&amp;$C$7,tbLancamentos[Momento da falha],"&lt;="&amp;$D$7)),""))</f>
        <v/>
      </c>
      <c r="E312" s="97" t="str">
        <f>IF(C312="","",IFERROR(SUMIFS(tbLancamentos[Meta tempo reparo],tbLancamentos[Equipamento],$C312,tbLancamentos[Momento da falha],"&gt;="&amp;$C$7,tbLancamentos[Momento da falha],"&lt;="&amp;$D$7),""))</f>
        <v/>
      </c>
      <c r="F312" s="97" t="str">
        <f>IF(C312="","",IFERROR(SUMIFS(tbLancamentos[Tempo devido],tbLancamentos[Equipamento],$C312,tbLancamentos[Momento da falha],"&gt;="&amp;$C$7,tbLancamentos[Momento da falha],"&lt;="&amp;$D$7),""))</f>
        <v/>
      </c>
      <c r="G31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2" s="127" t="str">
        <f t="shared" si="6"/>
        <v/>
      </c>
    </row>
    <row r="313" spans="2:9" ht="20.100000000000001" customHeight="1" x14ac:dyDescent="0.25">
      <c r="B313" s="94">
        <f>CadEqu!B309</f>
        <v>303</v>
      </c>
      <c r="C313" s="94" t="str">
        <f>IF(CadEqu!F309="","",CadEqu!F309)</f>
        <v/>
      </c>
      <c r="D313" s="97" t="str">
        <f>IF(C313="","",IFERROR(IF(SUMIFS(tbLancamentos[Tempo indisponível],tbLancamentos[Equipamento],$C313,tbLancamentos[Momento da falha],"&gt;="&amp;$C$7,tbLancamentos[Momento da falha],"&lt;="&amp;$D$7)&gt;$E$7,$E$7,SUMIFS(tbLancamentos[Tempo indisponível],tbLancamentos[Equipamento],$C313,tbLancamentos[Momento da falha],"&gt;="&amp;$C$7,tbLancamentos[Momento da falha],"&lt;="&amp;$D$7)),""))</f>
        <v/>
      </c>
      <c r="E313" s="97" t="str">
        <f>IF(C313="","",IFERROR(SUMIFS(tbLancamentos[Meta tempo reparo],tbLancamentos[Equipamento],$C313,tbLancamentos[Momento da falha],"&gt;="&amp;$C$7,tbLancamentos[Momento da falha],"&lt;="&amp;$D$7),""))</f>
        <v/>
      </c>
      <c r="F313" s="97" t="str">
        <f>IF(C313="","",IFERROR(SUMIFS(tbLancamentos[Tempo devido],tbLancamentos[Equipamento],$C313,tbLancamentos[Momento da falha],"&gt;="&amp;$C$7,tbLancamentos[Momento da falha],"&lt;="&amp;$D$7),""))</f>
        <v/>
      </c>
      <c r="G31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3" s="127" t="str">
        <f t="shared" si="6"/>
        <v/>
      </c>
    </row>
    <row r="314" spans="2:9" ht="20.100000000000001" customHeight="1" x14ac:dyDescent="0.25">
      <c r="B314" s="94">
        <f>CadEqu!B310</f>
        <v>304</v>
      </c>
      <c r="C314" s="94" t="str">
        <f>IF(CadEqu!F310="","",CadEqu!F310)</f>
        <v/>
      </c>
      <c r="D314" s="97" t="str">
        <f>IF(C314="","",IFERROR(IF(SUMIFS(tbLancamentos[Tempo indisponível],tbLancamentos[Equipamento],$C314,tbLancamentos[Momento da falha],"&gt;="&amp;$C$7,tbLancamentos[Momento da falha],"&lt;="&amp;$D$7)&gt;$E$7,$E$7,SUMIFS(tbLancamentos[Tempo indisponível],tbLancamentos[Equipamento],$C314,tbLancamentos[Momento da falha],"&gt;="&amp;$C$7,tbLancamentos[Momento da falha],"&lt;="&amp;$D$7)),""))</f>
        <v/>
      </c>
      <c r="E314" s="97" t="str">
        <f>IF(C314="","",IFERROR(SUMIFS(tbLancamentos[Meta tempo reparo],tbLancamentos[Equipamento],$C314,tbLancamentos[Momento da falha],"&gt;="&amp;$C$7,tbLancamentos[Momento da falha],"&lt;="&amp;$D$7),""))</f>
        <v/>
      </c>
      <c r="F314" s="97" t="str">
        <f>IF(C314="","",IFERROR(SUMIFS(tbLancamentos[Tempo devido],tbLancamentos[Equipamento],$C314,tbLancamentos[Momento da falha],"&gt;="&amp;$C$7,tbLancamentos[Momento da falha],"&lt;="&amp;$D$7),""))</f>
        <v/>
      </c>
      <c r="G31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4" s="127" t="str">
        <f t="shared" si="6"/>
        <v/>
      </c>
    </row>
    <row r="315" spans="2:9" ht="20.100000000000001" customHeight="1" x14ac:dyDescent="0.25">
      <c r="B315" s="94">
        <f>CadEqu!B311</f>
        <v>305</v>
      </c>
      <c r="C315" s="94" t="str">
        <f>IF(CadEqu!F311="","",CadEqu!F311)</f>
        <v/>
      </c>
      <c r="D315" s="97" t="str">
        <f>IF(C315="","",IFERROR(IF(SUMIFS(tbLancamentos[Tempo indisponível],tbLancamentos[Equipamento],$C315,tbLancamentos[Momento da falha],"&gt;="&amp;$C$7,tbLancamentos[Momento da falha],"&lt;="&amp;$D$7)&gt;$E$7,$E$7,SUMIFS(tbLancamentos[Tempo indisponível],tbLancamentos[Equipamento],$C315,tbLancamentos[Momento da falha],"&gt;="&amp;$C$7,tbLancamentos[Momento da falha],"&lt;="&amp;$D$7)),""))</f>
        <v/>
      </c>
      <c r="E315" s="97" t="str">
        <f>IF(C315="","",IFERROR(SUMIFS(tbLancamentos[Meta tempo reparo],tbLancamentos[Equipamento],$C315,tbLancamentos[Momento da falha],"&gt;="&amp;$C$7,tbLancamentos[Momento da falha],"&lt;="&amp;$D$7),""))</f>
        <v/>
      </c>
      <c r="F315" s="97" t="str">
        <f>IF(C315="","",IFERROR(SUMIFS(tbLancamentos[Tempo devido],tbLancamentos[Equipamento],$C315,tbLancamentos[Momento da falha],"&gt;="&amp;$C$7,tbLancamentos[Momento da falha],"&lt;="&amp;$D$7),""))</f>
        <v/>
      </c>
      <c r="G31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5" s="127" t="str">
        <f t="shared" si="6"/>
        <v/>
      </c>
    </row>
    <row r="316" spans="2:9" ht="20.100000000000001" customHeight="1" x14ac:dyDescent="0.25">
      <c r="B316" s="94">
        <f>CadEqu!B312</f>
        <v>306</v>
      </c>
      <c r="C316" s="94" t="str">
        <f>IF(CadEqu!F312="","",CadEqu!F312)</f>
        <v/>
      </c>
      <c r="D316" s="97" t="str">
        <f>IF(C316="","",IFERROR(IF(SUMIFS(tbLancamentos[Tempo indisponível],tbLancamentos[Equipamento],$C316,tbLancamentos[Momento da falha],"&gt;="&amp;$C$7,tbLancamentos[Momento da falha],"&lt;="&amp;$D$7)&gt;$E$7,$E$7,SUMIFS(tbLancamentos[Tempo indisponível],tbLancamentos[Equipamento],$C316,tbLancamentos[Momento da falha],"&gt;="&amp;$C$7,tbLancamentos[Momento da falha],"&lt;="&amp;$D$7)),""))</f>
        <v/>
      </c>
      <c r="E316" s="97" t="str">
        <f>IF(C316="","",IFERROR(SUMIFS(tbLancamentos[Meta tempo reparo],tbLancamentos[Equipamento],$C316,tbLancamentos[Momento da falha],"&gt;="&amp;$C$7,tbLancamentos[Momento da falha],"&lt;="&amp;$D$7),""))</f>
        <v/>
      </c>
      <c r="F316" s="97" t="str">
        <f>IF(C316="","",IFERROR(SUMIFS(tbLancamentos[Tempo devido],tbLancamentos[Equipamento],$C316,tbLancamentos[Momento da falha],"&gt;="&amp;$C$7,tbLancamentos[Momento da falha],"&lt;="&amp;$D$7),""))</f>
        <v/>
      </c>
      <c r="G31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6" s="127" t="str">
        <f t="shared" si="6"/>
        <v/>
      </c>
    </row>
    <row r="317" spans="2:9" ht="20.100000000000001" customHeight="1" x14ac:dyDescent="0.25">
      <c r="B317" s="94">
        <f>CadEqu!B313</f>
        <v>307</v>
      </c>
      <c r="C317" s="94" t="str">
        <f>IF(CadEqu!F313="","",CadEqu!F313)</f>
        <v/>
      </c>
      <c r="D317" s="97" t="str">
        <f>IF(C317="","",IFERROR(IF(SUMIFS(tbLancamentos[Tempo indisponível],tbLancamentos[Equipamento],$C317,tbLancamentos[Momento da falha],"&gt;="&amp;$C$7,tbLancamentos[Momento da falha],"&lt;="&amp;$D$7)&gt;$E$7,$E$7,SUMIFS(tbLancamentos[Tempo indisponível],tbLancamentos[Equipamento],$C317,tbLancamentos[Momento da falha],"&gt;="&amp;$C$7,tbLancamentos[Momento da falha],"&lt;="&amp;$D$7)),""))</f>
        <v/>
      </c>
      <c r="E317" s="97" t="str">
        <f>IF(C317="","",IFERROR(SUMIFS(tbLancamentos[Meta tempo reparo],tbLancamentos[Equipamento],$C317,tbLancamentos[Momento da falha],"&gt;="&amp;$C$7,tbLancamentos[Momento da falha],"&lt;="&amp;$D$7),""))</f>
        <v/>
      </c>
      <c r="F317" s="97" t="str">
        <f>IF(C317="","",IFERROR(SUMIFS(tbLancamentos[Tempo devido],tbLancamentos[Equipamento],$C317,tbLancamentos[Momento da falha],"&gt;="&amp;$C$7,tbLancamentos[Momento da falha],"&lt;="&amp;$D$7),""))</f>
        <v/>
      </c>
      <c r="G31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7" s="127" t="str">
        <f t="shared" si="6"/>
        <v/>
      </c>
    </row>
    <row r="318" spans="2:9" ht="20.100000000000001" customHeight="1" x14ac:dyDescent="0.25">
      <c r="B318" s="94">
        <f>CadEqu!B314</f>
        <v>308</v>
      </c>
      <c r="C318" s="94" t="str">
        <f>IF(CadEqu!F314="","",CadEqu!F314)</f>
        <v/>
      </c>
      <c r="D318" s="97" t="str">
        <f>IF(C318="","",IFERROR(IF(SUMIFS(tbLancamentos[Tempo indisponível],tbLancamentos[Equipamento],$C318,tbLancamentos[Momento da falha],"&gt;="&amp;$C$7,tbLancamentos[Momento da falha],"&lt;="&amp;$D$7)&gt;$E$7,$E$7,SUMIFS(tbLancamentos[Tempo indisponível],tbLancamentos[Equipamento],$C318,tbLancamentos[Momento da falha],"&gt;="&amp;$C$7,tbLancamentos[Momento da falha],"&lt;="&amp;$D$7)),""))</f>
        <v/>
      </c>
      <c r="E318" s="97" t="str">
        <f>IF(C318="","",IFERROR(SUMIFS(tbLancamentos[Meta tempo reparo],tbLancamentos[Equipamento],$C318,tbLancamentos[Momento da falha],"&gt;="&amp;$C$7,tbLancamentos[Momento da falha],"&lt;="&amp;$D$7),""))</f>
        <v/>
      </c>
      <c r="F318" s="97" t="str">
        <f>IF(C318="","",IFERROR(SUMIFS(tbLancamentos[Tempo devido],tbLancamentos[Equipamento],$C318,tbLancamentos[Momento da falha],"&gt;="&amp;$C$7,tbLancamentos[Momento da falha],"&lt;="&amp;$D$7),""))</f>
        <v/>
      </c>
      <c r="G31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8" s="127" t="str">
        <f t="shared" si="6"/>
        <v/>
      </c>
    </row>
    <row r="319" spans="2:9" ht="20.100000000000001" customHeight="1" x14ac:dyDescent="0.25">
      <c r="B319" s="94">
        <f>CadEqu!B315</f>
        <v>309</v>
      </c>
      <c r="C319" s="94" t="str">
        <f>IF(CadEqu!F315="","",CadEqu!F315)</f>
        <v/>
      </c>
      <c r="D319" s="97" t="str">
        <f>IF(C319="","",IFERROR(IF(SUMIFS(tbLancamentos[Tempo indisponível],tbLancamentos[Equipamento],$C319,tbLancamentos[Momento da falha],"&gt;="&amp;$C$7,tbLancamentos[Momento da falha],"&lt;="&amp;$D$7)&gt;$E$7,$E$7,SUMIFS(tbLancamentos[Tempo indisponível],tbLancamentos[Equipamento],$C319,tbLancamentos[Momento da falha],"&gt;="&amp;$C$7,tbLancamentos[Momento da falha],"&lt;="&amp;$D$7)),""))</f>
        <v/>
      </c>
      <c r="E319" s="97" t="str">
        <f>IF(C319="","",IFERROR(SUMIFS(tbLancamentos[Meta tempo reparo],tbLancamentos[Equipamento],$C319,tbLancamentos[Momento da falha],"&gt;="&amp;$C$7,tbLancamentos[Momento da falha],"&lt;="&amp;$D$7),""))</f>
        <v/>
      </c>
      <c r="F319" s="97" t="str">
        <f>IF(C319="","",IFERROR(SUMIFS(tbLancamentos[Tempo devido],tbLancamentos[Equipamento],$C319,tbLancamentos[Momento da falha],"&gt;="&amp;$C$7,tbLancamentos[Momento da falha],"&lt;="&amp;$D$7),""))</f>
        <v/>
      </c>
      <c r="G31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1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19" s="127" t="str">
        <f t="shared" si="6"/>
        <v/>
      </c>
    </row>
    <row r="320" spans="2:9" ht="20.100000000000001" customHeight="1" x14ac:dyDescent="0.25">
      <c r="B320" s="94">
        <f>CadEqu!B316</f>
        <v>310</v>
      </c>
      <c r="C320" s="94" t="str">
        <f>IF(CadEqu!F316="","",CadEqu!F316)</f>
        <v/>
      </c>
      <c r="D320" s="97" t="str">
        <f>IF(C320="","",IFERROR(IF(SUMIFS(tbLancamentos[Tempo indisponível],tbLancamentos[Equipamento],$C320,tbLancamentos[Momento da falha],"&gt;="&amp;$C$7,tbLancamentos[Momento da falha],"&lt;="&amp;$D$7)&gt;$E$7,$E$7,SUMIFS(tbLancamentos[Tempo indisponível],tbLancamentos[Equipamento],$C320,tbLancamentos[Momento da falha],"&gt;="&amp;$C$7,tbLancamentos[Momento da falha],"&lt;="&amp;$D$7)),""))</f>
        <v/>
      </c>
      <c r="E320" s="97" t="str">
        <f>IF(C320="","",IFERROR(SUMIFS(tbLancamentos[Meta tempo reparo],tbLancamentos[Equipamento],$C320,tbLancamentos[Momento da falha],"&gt;="&amp;$C$7,tbLancamentos[Momento da falha],"&lt;="&amp;$D$7),""))</f>
        <v/>
      </c>
      <c r="F320" s="97" t="str">
        <f>IF(C320="","",IFERROR(SUMIFS(tbLancamentos[Tempo devido],tbLancamentos[Equipamento],$C320,tbLancamentos[Momento da falha],"&gt;="&amp;$C$7,tbLancamentos[Momento da falha],"&lt;="&amp;$D$7),""))</f>
        <v/>
      </c>
      <c r="G32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0" s="127" t="str">
        <f t="shared" si="6"/>
        <v/>
      </c>
    </row>
    <row r="321" spans="2:9" ht="20.100000000000001" customHeight="1" x14ac:dyDescent="0.25">
      <c r="B321" s="94">
        <f>CadEqu!B317</f>
        <v>311</v>
      </c>
      <c r="C321" s="94" t="str">
        <f>IF(CadEqu!F317="","",CadEqu!F317)</f>
        <v/>
      </c>
      <c r="D321" s="97" t="str">
        <f>IF(C321="","",IFERROR(IF(SUMIFS(tbLancamentos[Tempo indisponível],tbLancamentos[Equipamento],$C321,tbLancamentos[Momento da falha],"&gt;="&amp;$C$7,tbLancamentos[Momento da falha],"&lt;="&amp;$D$7)&gt;$E$7,$E$7,SUMIFS(tbLancamentos[Tempo indisponível],tbLancamentos[Equipamento],$C321,tbLancamentos[Momento da falha],"&gt;="&amp;$C$7,tbLancamentos[Momento da falha],"&lt;="&amp;$D$7)),""))</f>
        <v/>
      </c>
      <c r="E321" s="97" t="str">
        <f>IF(C321="","",IFERROR(SUMIFS(tbLancamentos[Meta tempo reparo],tbLancamentos[Equipamento],$C321,tbLancamentos[Momento da falha],"&gt;="&amp;$C$7,tbLancamentos[Momento da falha],"&lt;="&amp;$D$7),""))</f>
        <v/>
      </c>
      <c r="F321" s="97" t="str">
        <f>IF(C321="","",IFERROR(SUMIFS(tbLancamentos[Tempo devido],tbLancamentos[Equipamento],$C321,tbLancamentos[Momento da falha],"&gt;="&amp;$C$7,tbLancamentos[Momento da falha],"&lt;="&amp;$D$7),""))</f>
        <v/>
      </c>
      <c r="G32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1" s="127" t="str">
        <f t="shared" si="6"/>
        <v/>
      </c>
    </row>
    <row r="322" spans="2:9" ht="20.100000000000001" customHeight="1" x14ac:dyDescent="0.25">
      <c r="B322" s="94">
        <f>CadEqu!B318</f>
        <v>312</v>
      </c>
      <c r="C322" s="94" t="str">
        <f>IF(CadEqu!F318="","",CadEqu!F318)</f>
        <v/>
      </c>
      <c r="D322" s="97" t="str">
        <f>IF(C322="","",IFERROR(IF(SUMIFS(tbLancamentos[Tempo indisponível],tbLancamentos[Equipamento],$C322,tbLancamentos[Momento da falha],"&gt;="&amp;$C$7,tbLancamentos[Momento da falha],"&lt;="&amp;$D$7)&gt;$E$7,$E$7,SUMIFS(tbLancamentos[Tempo indisponível],tbLancamentos[Equipamento],$C322,tbLancamentos[Momento da falha],"&gt;="&amp;$C$7,tbLancamentos[Momento da falha],"&lt;="&amp;$D$7)),""))</f>
        <v/>
      </c>
      <c r="E322" s="97" t="str">
        <f>IF(C322="","",IFERROR(SUMIFS(tbLancamentos[Meta tempo reparo],tbLancamentos[Equipamento],$C322,tbLancamentos[Momento da falha],"&gt;="&amp;$C$7,tbLancamentos[Momento da falha],"&lt;="&amp;$D$7),""))</f>
        <v/>
      </c>
      <c r="F322" s="97" t="str">
        <f>IF(C322="","",IFERROR(SUMIFS(tbLancamentos[Tempo devido],tbLancamentos[Equipamento],$C322,tbLancamentos[Momento da falha],"&gt;="&amp;$C$7,tbLancamentos[Momento da falha],"&lt;="&amp;$D$7),""))</f>
        <v/>
      </c>
      <c r="G32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2" s="127" t="str">
        <f t="shared" si="6"/>
        <v/>
      </c>
    </row>
    <row r="323" spans="2:9" ht="20.100000000000001" customHeight="1" x14ac:dyDescent="0.25">
      <c r="B323" s="94">
        <f>CadEqu!B319</f>
        <v>313</v>
      </c>
      <c r="C323" s="94" t="str">
        <f>IF(CadEqu!F319="","",CadEqu!F319)</f>
        <v/>
      </c>
      <c r="D323" s="97" t="str">
        <f>IF(C323="","",IFERROR(IF(SUMIFS(tbLancamentos[Tempo indisponível],tbLancamentos[Equipamento],$C323,tbLancamentos[Momento da falha],"&gt;="&amp;$C$7,tbLancamentos[Momento da falha],"&lt;="&amp;$D$7)&gt;$E$7,$E$7,SUMIFS(tbLancamentos[Tempo indisponível],tbLancamentos[Equipamento],$C323,tbLancamentos[Momento da falha],"&gt;="&amp;$C$7,tbLancamentos[Momento da falha],"&lt;="&amp;$D$7)),""))</f>
        <v/>
      </c>
      <c r="E323" s="97" t="str">
        <f>IF(C323="","",IFERROR(SUMIFS(tbLancamentos[Meta tempo reparo],tbLancamentos[Equipamento],$C323,tbLancamentos[Momento da falha],"&gt;="&amp;$C$7,tbLancamentos[Momento da falha],"&lt;="&amp;$D$7),""))</f>
        <v/>
      </c>
      <c r="F323" s="97" t="str">
        <f>IF(C323="","",IFERROR(SUMIFS(tbLancamentos[Tempo devido],tbLancamentos[Equipamento],$C323,tbLancamentos[Momento da falha],"&gt;="&amp;$C$7,tbLancamentos[Momento da falha],"&lt;="&amp;$D$7),""))</f>
        <v/>
      </c>
      <c r="G32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3" s="127" t="str">
        <f t="shared" si="6"/>
        <v/>
      </c>
    </row>
    <row r="324" spans="2:9" ht="20.100000000000001" customHeight="1" x14ac:dyDescent="0.25">
      <c r="B324" s="94">
        <f>CadEqu!B320</f>
        <v>314</v>
      </c>
      <c r="C324" s="94" t="str">
        <f>IF(CadEqu!F320="","",CadEqu!F320)</f>
        <v/>
      </c>
      <c r="D324" s="97" t="str">
        <f>IF(C324="","",IFERROR(IF(SUMIFS(tbLancamentos[Tempo indisponível],tbLancamentos[Equipamento],$C324,tbLancamentos[Momento da falha],"&gt;="&amp;$C$7,tbLancamentos[Momento da falha],"&lt;="&amp;$D$7)&gt;$E$7,$E$7,SUMIFS(tbLancamentos[Tempo indisponível],tbLancamentos[Equipamento],$C324,tbLancamentos[Momento da falha],"&gt;="&amp;$C$7,tbLancamentos[Momento da falha],"&lt;="&amp;$D$7)),""))</f>
        <v/>
      </c>
      <c r="E324" s="97" t="str">
        <f>IF(C324="","",IFERROR(SUMIFS(tbLancamentos[Meta tempo reparo],tbLancamentos[Equipamento],$C324,tbLancamentos[Momento da falha],"&gt;="&amp;$C$7,tbLancamentos[Momento da falha],"&lt;="&amp;$D$7),""))</f>
        <v/>
      </c>
      <c r="F324" s="97" t="str">
        <f>IF(C324="","",IFERROR(SUMIFS(tbLancamentos[Tempo devido],tbLancamentos[Equipamento],$C324,tbLancamentos[Momento da falha],"&gt;="&amp;$C$7,tbLancamentos[Momento da falha],"&lt;="&amp;$D$7),""))</f>
        <v/>
      </c>
      <c r="G32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4" s="127" t="str">
        <f t="shared" si="6"/>
        <v/>
      </c>
    </row>
    <row r="325" spans="2:9" ht="20.100000000000001" customHeight="1" x14ac:dyDescent="0.25">
      <c r="B325" s="94">
        <f>CadEqu!B321</f>
        <v>315</v>
      </c>
      <c r="C325" s="94" t="str">
        <f>IF(CadEqu!F321="","",CadEqu!F321)</f>
        <v/>
      </c>
      <c r="D325" s="97" t="str">
        <f>IF(C325="","",IFERROR(IF(SUMIFS(tbLancamentos[Tempo indisponível],tbLancamentos[Equipamento],$C325,tbLancamentos[Momento da falha],"&gt;="&amp;$C$7,tbLancamentos[Momento da falha],"&lt;="&amp;$D$7)&gt;$E$7,$E$7,SUMIFS(tbLancamentos[Tempo indisponível],tbLancamentos[Equipamento],$C325,tbLancamentos[Momento da falha],"&gt;="&amp;$C$7,tbLancamentos[Momento da falha],"&lt;="&amp;$D$7)),""))</f>
        <v/>
      </c>
      <c r="E325" s="97" t="str">
        <f>IF(C325="","",IFERROR(SUMIFS(tbLancamentos[Meta tempo reparo],tbLancamentos[Equipamento],$C325,tbLancamentos[Momento da falha],"&gt;="&amp;$C$7,tbLancamentos[Momento da falha],"&lt;="&amp;$D$7),""))</f>
        <v/>
      </c>
      <c r="F325" s="97" t="str">
        <f>IF(C325="","",IFERROR(SUMIFS(tbLancamentos[Tempo devido],tbLancamentos[Equipamento],$C325,tbLancamentos[Momento da falha],"&gt;="&amp;$C$7,tbLancamentos[Momento da falha],"&lt;="&amp;$D$7),""))</f>
        <v/>
      </c>
      <c r="G32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5" s="127" t="str">
        <f t="shared" si="6"/>
        <v/>
      </c>
    </row>
    <row r="326" spans="2:9" ht="20.100000000000001" customHeight="1" x14ac:dyDescent="0.25">
      <c r="B326" s="94">
        <f>CadEqu!B322</f>
        <v>316</v>
      </c>
      <c r="C326" s="94" t="str">
        <f>IF(CadEqu!F322="","",CadEqu!F322)</f>
        <v/>
      </c>
      <c r="D326" s="97" t="str">
        <f>IF(C326="","",IFERROR(IF(SUMIFS(tbLancamentos[Tempo indisponível],tbLancamentos[Equipamento],$C326,tbLancamentos[Momento da falha],"&gt;="&amp;$C$7,tbLancamentos[Momento da falha],"&lt;="&amp;$D$7)&gt;$E$7,$E$7,SUMIFS(tbLancamentos[Tempo indisponível],tbLancamentos[Equipamento],$C326,tbLancamentos[Momento da falha],"&gt;="&amp;$C$7,tbLancamentos[Momento da falha],"&lt;="&amp;$D$7)),""))</f>
        <v/>
      </c>
      <c r="E326" s="97" t="str">
        <f>IF(C326="","",IFERROR(SUMIFS(tbLancamentos[Meta tempo reparo],tbLancamentos[Equipamento],$C326,tbLancamentos[Momento da falha],"&gt;="&amp;$C$7,tbLancamentos[Momento da falha],"&lt;="&amp;$D$7),""))</f>
        <v/>
      </c>
      <c r="F326" s="97" t="str">
        <f>IF(C326="","",IFERROR(SUMIFS(tbLancamentos[Tempo devido],tbLancamentos[Equipamento],$C326,tbLancamentos[Momento da falha],"&gt;="&amp;$C$7,tbLancamentos[Momento da falha],"&lt;="&amp;$D$7),""))</f>
        <v/>
      </c>
      <c r="G32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6" s="127" t="str">
        <f t="shared" si="6"/>
        <v/>
      </c>
    </row>
    <row r="327" spans="2:9" ht="20.100000000000001" customHeight="1" x14ac:dyDescent="0.25">
      <c r="B327" s="94">
        <f>CadEqu!B323</f>
        <v>317</v>
      </c>
      <c r="C327" s="94" t="str">
        <f>IF(CadEqu!F323="","",CadEqu!F323)</f>
        <v/>
      </c>
      <c r="D327" s="97" t="str">
        <f>IF(C327="","",IFERROR(IF(SUMIFS(tbLancamentos[Tempo indisponível],tbLancamentos[Equipamento],$C327,tbLancamentos[Momento da falha],"&gt;="&amp;$C$7,tbLancamentos[Momento da falha],"&lt;="&amp;$D$7)&gt;$E$7,$E$7,SUMIFS(tbLancamentos[Tempo indisponível],tbLancamentos[Equipamento],$C327,tbLancamentos[Momento da falha],"&gt;="&amp;$C$7,tbLancamentos[Momento da falha],"&lt;="&amp;$D$7)),""))</f>
        <v/>
      </c>
      <c r="E327" s="97" t="str">
        <f>IF(C327="","",IFERROR(SUMIFS(tbLancamentos[Meta tempo reparo],tbLancamentos[Equipamento],$C327,tbLancamentos[Momento da falha],"&gt;="&amp;$C$7,tbLancamentos[Momento da falha],"&lt;="&amp;$D$7),""))</f>
        <v/>
      </c>
      <c r="F327" s="97" t="str">
        <f>IF(C327="","",IFERROR(SUMIFS(tbLancamentos[Tempo devido],tbLancamentos[Equipamento],$C327,tbLancamentos[Momento da falha],"&gt;="&amp;$C$7,tbLancamentos[Momento da falha],"&lt;="&amp;$D$7),""))</f>
        <v/>
      </c>
      <c r="G32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7" s="127" t="str">
        <f t="shared" si="6"/>
        <v/>
      </c>
    </row>
    <row r="328" spans="2:9" ht="20.100000000000001" customHeight="1" x14ac:dyDescent="0.25">
      <c r="B328" s="94">
        <f>CadEqu!B324</f>
        <v>318</v>
      </c>
      <c r="C328" s="94" t="str">
        <f>IF(CadEqu!F324="","",CadEqu!F324)</f>
        <v/>
      </c>
      <c r="D328" s="97" t="str">
        <f>IF(C328="","",IFERROR(IF(SUMIFS(tbLancamentos[Tempo indisponível],tbLancamentos[Equipamento],$C328,tbLancamentos[Momento da falha],"&gt;="&amp;$C$7,tbLancamentos[Momento da falha],"&lt;="&amp;$D$7)&gt;$E$7,$E$7,SUMIFS(tbLancamentos[Tempo indisponível],tbLancamentos[Equipamento],$C328,tbLancamentos[Momento da falha],"&gt;="&amp;$C$7,tbLancamentos[Momento da falha],"&lt;="&amp;$D$7)),""))</f>
        <v/>
      </c>
      <c r="E328" s="97" t="str">
        <f>IF(C328="","",IFERROR(SUMIFS(tbLancamentos[Meta tempo reparo],tbLancamentos[Equipamento],$C328,tbLancamentos[Momento da falha],"&gt;="&amp;$C$7,tbLancamentos[Momento da falha],"&lt;="&amp;$D$7),""))</f>
        <v/>
      </c>
      <c r="F328" s="97" t="str">
        <f>IF(C328="","",IFERROR(SUMIFS(tbLancamentos[Tempo devido],tbLancamentos[Equipamento],$C328,tbLancamentos[Momento da falha],"&gt;="&amp;$C$7,tbLancamentos[Momento da falha],"&lt;="&amp;$D$7),""))</f>
        <v/>
      </c>
      <c r="G32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8" s="127" t="str">
        <f t="shared" si="6"/>
        <v/>
      </c>
    </row>
    <row r="329" spans="2:9" ht="20.100000000000001" customHeight="1" x14ac:dyDescent="0.25">
      <c r="B329" s="94">
        <f>CadEqu!B325</f>
        <v>319</v>
      </c>
      <c r="C329" s="94" t="str">
        <f>IF(CadEqu!F325="","",CadEqu!F325)</f>
        <v/>
      </c>
      <c r="D329" s="97" t="str">
        <f>IF(C329="","",IFERROR(IF(SUMIFS(tbLancamentos[Tempo indisponível],tbLancamentos[Equipamento],$C329,tbLancamentos[Momento da falha],"&gt;="&amp;$C$7,tbLancamentos[Momento da falha],"&lt;="&amp;$D$7)&gt;$E$7,$E$7,SUMIFS(tbLancamentos[Tempo indisponível],tbLancamentos[Equipamento],$C329,tbLancamentos[Momento da falha],"&gt;="&amp;$C$7,tbLancamentos[Momento da falha],"&lt;="&amp;$D$7)),""))</f>
        <v/>
      </c>
      <c r="E329" s="97" t="str">
        <f>IF(C329="","",IFERROR(SUMIFS(tbLancamentos[Meta tempo reparo],tbLancamentos[Equipamento],$C329,tbLancamentos[Momento da falha],"&gt;="&amp;$C$7,tbLancamentos[Momento da falha],"&lt;="&amp;$D$7),""))</f>
        <v/>
      </c>
      <c r="F329" s="97" t="str">
        <f>IF(C329="","",IFERROR(SUMIFS(tbLancamentos[Tempo devido],tbLancamentos[Equipamento],$C329,tbLancamentos[Momento da falha],"&gt;="&amp;$C$7,tbLancamentos[Momento da falha],"&lt;="&amp;$D$7),""))</f>
        <v/>
      </c>
      <c r="G32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2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29" s="127" t="str">
        <f t="shared" si="6"/>
        <v/>
      </c>
    </row>
    <row r="330" spans="2:9" ht="20.100000000000001" customHeight="1" x14ac:dyDescent="0.25">
      <c r="B330" s="94">
        <f>CadEqu!B326</f>
        <v>320</v>
      </c>
      <c r="C330" s="94" t="str">
        <f>IF(CadEqu!F326="","",CadEqu!F326)</f>
        <v/>
      </c>
      <c r="D330" s="97" t="str">
        <f>IF(C330="","",IFERROR(IF(SUMIFS(tbLancamentos[Tempo indisponível],tbLancamentos[Equipamento],$C330,tbLancamentos[Momento da falha],"&gt;="&amp;$C$7,tbLancamentos[Momento da falha],"&lt;="&amp;$D$7)&gt;$E$7,$E$7,SUMIFS(tbLancamentos[Tempo indisponível],tbLancamentos[Equipamento],$C330,tbLancamentos[Momento da falha],"&gt;="&amp;$C$7,tbLancamentos[Momento da falha],"&lt;="&amp;$D$7)),""))</f>
        <v/>
      </c>
      <c r="E330" s="97" t="str">
        <f>IF(C330="","",IFERROR(SUMIFS(tbLancamentos[Meta tempo reparo],tbLancamentos[Equipamento],$C330,tbLancamentos[Momento da falha],"&gt;="&amp;$C$7,tbLancamentos[Momento da falha],"&lt;="&amp;$D$7),""))</f>
        <v/>
      </c>
      <c r="F330" s="97" t="str">
        <f>IF(C330="","",IFERROR(SUMIFS(tbLancamentos[Tempo devido],tbLancamentos[Equipamento],$C330,tbLancamentos[Momento da falha],"&gt;="&amp;$C$7,tbLancamentos[Momento da falha],"&lt;="&amp;$D$7),""))</f>
        <v/>
      </c>
      <c r="G33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0" s="127" t="str">
        <f t="shared" si="6"/>
        <v/>
      </c>
    </row>
    <row r="331" spans="2:9" ht="20.100000000000001" customHeight="1" x14ac:dyDescent="0.25">
      <c r="B331" s="94">
        <f>CadEqu!B327</f>
        <v>321</v>
      </c>
      <c r="C331" s="94" t="str">
        <f>IF(CadEqu!F327="","",CadEqu!F327)</f>
        <v/>
      </c>
      <c r="D331" s="97" t="str">
        <f>IF(C331="","",IFERROR(IF(SUMIFS(tbLancamentos[Tempo indisponível],tbLancamentos[Equipamento],$C331,tbLancamentos[Momento da falha],"&gt;="&amp;$C$7,tbLancamentos[Momento da falha],"&lt;="&amp;$D$7)&gt;$E$7,$E$7,SUMIFS(tbLancamentos[Tempo indisponível],tbLancamentos[Equipamento],$C331,tbLancamentos[Momento da falha],"&gt;="&amp;$C$7,tbLancamentos[Momento da falha],"&lt;="&amp;$D$7)),""))</f>
        <v/>
      </c>
      <c r="E331" s="97" t="str">
        <f>IF(C331="","",IFERROR(SUMIFS(tbLancamentos[Meta tempo reparo],tbLancamentos[Equipamento],$C331,tbLancamentos[Momento da falha],"&gt;="&amp;$C$7,tbLancamentos[Momento da falha],"&lt;="&amp;$D$7),""))</f>
        <v/>
      </c>
      <c r="F331" s="97" t="str">
        <f>IF(C331="","",IFERROR(SUMIFS(tbLancamentos[Tempo devido],tbLancamentos[Equipamento],$C331,tbLancamentos[Momento da falha],"&gt;="&amp;$C$7,tbLancamentos[Momento da falha],"&lt;="&amp;$D$7),""))</f>
        <v/>
      </c>
      <c r="G33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1" s="127" t="str">
        <f t="shared" ref="I331:I394" si="7">IF(C331="","",($E$7-(D331-E331))/$E$7)</f>
        <v/>
      </c>
    </row>
    <row r="332" spans="2:9" ht="20.100000000000001" customHeight="1" x14ac:dyDescent="0.25">
      <c r="B332" s="94">
        <f>CadEqu!B328</f>
        <v>322</v>
      </c>
      <c r="C332" s="94" t="str">
        <f>IF(CadEqu!F328="","",CadEqu!F328)</f>
        <v/>
      </c>
      <c r="D332" s="97" t="str">
        <f>IF(C332="","",IFERROR(IF(SUMIFS(tbLancamentos[Tempo indisponível],tbLancamentos[Equipamento],$C332,tbLancamentos[Momento da falha],"&gt;="&amp;$C$7,tbLancamentos[Momento da falha],"&lt;="&amp;$D$7)&gt;$E$7,$E$7,SUMIFS(tbLancamentos[Tempo indisponível],tbLancamentos[Equipamento],$C332,tbLancamentos[Momento da falha],"&gt;="&amp;$C$7,tbLancamentos[Momento da falha],"&lt;="&amp;$D$7)),""))</f>
        <v/>
      </c>
      <c r="E332" s="97" t="str">
        <f>IF(C332="","",IFERROR(SUMIFS(tbLancamentos[Meta tempo reparo],tbLancamentos[Equipamento],$C332,tbLancamentos[Momento da falha],"&gt;="&amp;$C$7,tbLancamentos[Momento da falha],"&lt;="&amp;$D$7),""))</f>
        <v/>
      </c>
      <c r="F332" s="97" t="str">
        <f>IF(C332="","",IFERROR(SUMIFS(tbLancamentos[Tempo devido],tbLancamentos[Equipamento],$C332,tbLancamentos[Momento da falha],"&gt;="&amp;$C$7,tbLancamentos[Momento da falha],"&lt;="&amp;$D$7),""))</f>
        <v/>
      </c>
      <c r="G33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2" s="127" t="str">
        <f t="shared" si="7"/>
        <v/>
      </c>
    </row>
    <row r="333" spans="2:9" ht="20.100000000000001" customHeight="1" x14ac:dyDescent="0.25">
      <c r="B333" s="94">
        <f>CadEqu!B329</f>
        <v>323</v>
      </c>
      <c r="C333" s="94" t="str">
        <f>IF(CadEqu!F329="","",CadEqu!F329)</f>
        <v/>
      </c>
      <c r="D333" s="97" t="str">
        <f>IF(C333="","",IFERROR(IF(SUMIFS(tbLancamentos[Tempo indisponível],tbLancamentos[Equipamento],$C333,tbLancamentos[Momento da falha],"&gt;="&amp;$C$7,tbLancamentos[Momento da falha],"&lt;="&amp;$D$7)&gt;$E$7,$E$7,SUMIFS(tbLancamentos[Tempo indisponível],tbLancamentos[Equipamento],$C333,tbLancamentos[Momento da falha],"&gt;="&amp;$C$7,tbLancamentos[Momento da falha],"&lt;="&amp;$D$7)),""))</f>
        <v/>
      </c>
      <c r="E333" s="97" t="str">
        <f>IF(C333="","",IFERROR(SUMIFS(tbLancamentos[Meta tempo reparo],tbLancamentos[Equipamento],$C333,tbLancamentos[Momento da falha],"&gt;="&amp;$C$7,tbLancamentos[Momento da falha],"&lt;="&amp;$D$7),""))</f>
        <v/>
      </c>
      <c r="F333" s="97" t="str">
        <f>IF(C333="","",IFERROR(SUMIFS(tbLancamentos[Tempo devido],tbLancamentos[Equipamento],$C333,tbLancamentos[Momento da falha],"&gt;="&amp;$C$7,tbLancamentos[Momento da falha],"&lt;="&amp;$D$7),""))</f>
        <v/>
      </c>
      <c r="G33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3" s="127" t="str">
        <f t="shared" si="7"/>
        <v/>
      </c>
    </row>
    <row r="334" spans="2:9" ht="20.100000000000001" customHeight="1" x14ac:dyDescent="0.25">
      <c r="B334" s="94">
        <f>CadEqu!B330</f>
        <v>324</v>
      </c>
      <c r="C334" s="94" t="str">
        <f>IF(CadEqu!F330="","",CadEqu!F330)</f>
        <v/>
      </c>
      <c r="D334" s="97" t="str">
        <f>IF(C334="","",IFERROR(IF(SUMIFS(tbLancamentos[Tempo indisponível],tbLancamentos[Equipamento],$C334,tbLancamentos[Momento da falha],"&gt;="&amp;$C$7,tbLancamentos[Momento da falha],"&lt;="&amp;$D$7)&gt;$E$7,$E$7,SUMIFS(tbLancamentos[Tempo indisponível],tbLancamentos[Equipamento],$C334,tbLancamentos[Momento da falha],"&gt;="&amp;$C$7,tbLancamentos[Momento da falha],"&lt;="&amp;$D$7)),""))</f>
        <v/>
      </c>
      <c r="E334" s="97" t="str">
        <f>IF(C334="","",IFERROR(SUMIFS(tbLancamentos[Meta tempo reparo],tbLancamentos[Equipamento],$C334,tbLancamentos[Momento da falha],"&gt;="&amp;$C$7,tbLancamentos[Momento da falha],"&lt;="&amp;$D$7),""))</f>
        <v/>
      </c>
      <c r="F334" s="97" t="str">
        <f>IF(C334="","",IFERROR(SUMIFS(tbLancamentos[Tempo devido],tbLancamentos[Equipamento],$C334,tbLancamentos[Momento da falha],"&gt;="&amp;$C$7,tbLancamentos[Momento da falha],"&lt;="&amp;$D$7),""))</f>
        <v/>
      </c>
      <c r="G33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4" s="127" t="str">
        <f t="shared" si="7"/>
        <v/>
      </c>
    </row>
    <row r="335" spans="2:9" ht="20.100000000000001" customHeight="1" x14ac:dyDescent="0.25">
      <c r="B335" s="94">
        <f>CadEqu!B331</f>
        <v>325</v>
      </c>
      <c r="C335" s="94" t="str">
        <f>IF(CadEqu!F331="","",CadEqu!F331)</f>
        <v/>
      </c>
      <c r="D335" s="97" t="str">
        <f>IF(C335="","",IFERROR(IF(SUMIFS(tbLancamentos[Tempo indisponível],tbLancamentos[Equipamento],$C335,tbLancamentos[Momento da falha],"&gt;="&amp;$C$7,tbLancamentos[Momento da falha],"&lt;="&amp;$D$7)&gt;$E$7,$E$7,SUMIFS(tbLancamentos[Tempo indisponível],tbLancamentos[Equipamento],$C335,tbLancamentos[Momento da falha],"&gt;="&amp;$C$7,tbLancamentos[Momento da falha],"&lt;="&amp;$D$7)),""))</f>
        <v/>
      </c>
      <c r="E335" s="97" t="str">
        <f>IF(C335="","",IFERROR(SUMIFS(tbLancamentos[Meta tempo reparo],tbLancamentos[Equipamento],$C335,tbLancamentos[Momento da falha],"&gt;="&amp;$C$7,tbLancamentos[Momento da falha],"&lt;="&amp;$D$7),""))</f>
        <v/>
      </c>
      <c r="F335" s="97" t="str">
        <f>IF(C335="","",IFERROR(SUMIFS(tbLancamentos[Tempo devido],tbLancamentos[Equipamento],$C335,tbLancamentos[Momento da falha],"&gt;="&amp;$C$7,tbLancamentos[Momento da falha],"&lt;="&amp;$D$7),""))</f>
        <v/>
      </c>
      <c r="G33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5" s="127" t="str">
        <f t="shared" si="7"/>
        <v/>
      </c>
    </row>
    <row r="336" spans="2:9" ht="20.100000000000001" customHeight="1" x14ac:dyDescent="0.25">
      <c r="B336" s="94">
        <f>CadEqu!B332</f>
        <v>326</v>
      </c>
      <c r="C336" s="94" t="str">
        <f>IF(CadEqu!F332="","",CadEqu!F332)</f>
        <v/>
      </c>
      <c r="D336" s="97" t="str">
        <f>IF(C336="","",IFERROR(IF(SUMIFS(tbLancamentos[Tempo indisponível],tbLancamentos[Equipamento],$C336,tbLancamentos[Momento da falha],"&gt;="&amp;$C$7,tbLancamentos[Momento da falha],"&lt;="&amp;$D$7)&gt;$E$7,$E$7,SUMIFS(tbLancamentos[Tempo indisponível],tbLancamentos[Equipamento],$C336,tbLancamentos[Momento da falha],"&gt;="&amp;$C$7,tbLancamentos[Momento da falha],"&lt;="&amp;$D$7)),""))</f>
        <v/>
      </c>
      <c r="E336" s="97" t="str">
        <f>IF(C336="","",IFERROR(SUMIFS(tbLancamentos[Meta tempo reparo],tbLancamentos[Equipamento],$C336,tbLancamentos[Momento da falha],"&gt;="&amp;$C$7,tbLancamentos[Momento da falha],"&lt;="&amp;$D$7),""))</f>
        <v/>
      </c>
      <c r="F336" s="97" t="str">
        <f>IF(C336="","",IFERROR(SUMIFS(tbLancamentos[Tempo devido],tbLancamentos[Equipamento],$C336,tbLancamentos[Momento da falha],"&gt;="&amp;$C$7,tbLancamentos[Momento da falha],"&lt;="&amp;$D$7),""))</f>
        <v/>
      </c>
      <c r="G33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6" s="127" t="str">
        <f t="shared" si="7"/>
        <v/>
      </c>
    </row>
    <row r="337" spans="2:9" ht="20.100000000000001" customHeight="1" x14ac:dyDescent="0.25">
      <c r="B337" s="94">
        <f>CadEqu!B333</f>
        <v>327</v>
      </c>
      <c r="C337" s="94" t="str">
        <f>IF(CadEqu!F333="","",CadEqu!F333)</f>
        <v/>
      </c>
      <c r="D337" s="97" t="str">
        <f>IF(C337="","",IFERROR(IF(SUMIFS(tbLancamentos[Tempo indisponível],tbLancamentos[Equipamento],$C337,tbLancamentos[Momento da falha],"&gt;="&amp;$C$7,tbLancamentos[Momento da falha],"&lt;="&amp;$D$7)&gt;$E$7,$E$7,SUMIFS(tbLancamentos[Tempo indisponível],tbLancamentos[Equipamento],$C337,tbLancamentos[Momento da falha],"&gt;="&amp;$C$7,tbLancamentos[Momento da falha],"&lt;="&amp;$D$7)),""))</f>
        <v/>
      </c>
      <c r="E337" s="97" t="str">
        <f>IF(C337="","",IFERROR(SUMIFS(tbLancamentos[Meta tempo reparo],tbLancamentos[Equipamento],$C337,tbLancamentos[Momento da falha],"&gt;="&amp;$C$7,tbLancamentos[Momento da falha],"&lt;="&amp;$D$7),""))</f>
        <v/>
      </c>
      <c r="F337" s="97" t="str">
        <f>IF(C337="","",IFERROR(SUMIFS(tbLancamentos[Tempo devido],tbLancamentos[Equipamento],$C337,tbLancamentos[Momento da falha],"&gt;="&amp;$C$7,tbLancamentos[Momento da falha],"&lt;="&amp;$D$7),""))</f>
        <v/>
      </c>
      <c r="G33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7" s="127" t="str">
        <f t="shared" si="7"/>
        <v/>
      </c>
    </row>
    <row r="338" spans="2:9" ht="20.100000000000001" customHeight="1" x14ac:dyDescent="0.25">
      <c r="B338" s="94">
        <f>CadEqu!B334</f>
        <v>328</v>
      </c>
      <c r="C338" s="94" t="str">
        <f>IF(CadEqu!F334="","",CadEqu!F334)</f>
        <v/>
      </c>
      <c r="D338" s="97" t="str">
        <f>IF(C338="","",IFERROR(IF(SUMIFS(tbLancamentos[Tempo indisponível],tbLancamentos[Equipamento],$C338,tbLancamentos[Momento da falha],"&gt;="&amp;$C$7,tbLancamentos[Momento da falha],"&lt;="&amp;$D$7)&gt;$E$7,$E$7,SUMIFS(tbLancamentos[Tempo indisponível],tbLancamentos[Equipamento],$C338,tbLancamentos[Momento da falha],"&gt;="&amp;$C$7,tbLancamentos[Momento da falha],"&lt;="&amp;$D$7)),""))</f>
        <v/>
      </c>
      <c r="E338" s="97" t="str">
        <f>IF(C338="","",IFERROR(SUMIFS(tbLancamentos[Meta tempo reparo],tbLancamentos[Equipamento],$C338,tbLancamentos[Momento da falha],"&gt;="&amp;$C$7,tbLancamentos[Momento da falha],"&lt;="&amp;$D$7),""))</f>
        <v/>
      </c>
      <c r="F338" s="97" t="str">
        <f>IF(C338="","",IFERROR(SUMIFS(tbLancamentos[Tempo devido],tbLancamentos[Equipamento],$C338,tbLancamentos[Momento da falha],"&gt;="&amp;$C$7,tbLancamentos[Momento da falha],"&lt;="&amp;$D$7),""))</f>
        <v/>
      </c>
      <c r="G33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8" s="127" t="str">
        <f t="shared" si="7"/>
        <v/>
      </c>
    </row>
    <row r="339" spans="2:9" ht="20.100000000000001" customHeight="1" x14ac:dyDescent="0.25">
      <c r="B339" s="94">
        <f>CadEqu!B335</f>
        <v>329</v>
      </c>
      <c r="C339" s="94" t="str">
        <f>IF(CadEqu!F335="","",CadEqu!F335)</f>
        <v/>
      </c>
      <c r="D339" s="97" t="str">
        <f>IF(C339="","",IFERROR(IF(SUMIFS(tbLancamentos[Tempo indisponível],tbLancamentos[Equipamento],$C339,tbLancamentos[Momento da falha],"&gt;="&amp;$C$7,tbLancamentos[Momento da falha],"&lt;="&amp;$D$7)&gt;$E$7,$E$7,SUMIFS(tbLancamentos[Tempo indisponível],tbLancamentos[Equipamento],$C339,tbLancamentos[Momento da falha],"&gt;="&amp;$C$7,tbLancamentos[Momento da falha],"&lt;="&amp;$D$7)),""))</f>
        <v/>
      </c>
      <c r="E339" s="97" t="str">
        <f>IF(C339="","",IFERROR(SUMIFS(tbLancamentos[Meta tempo reparo],tbLancamentos[Equipamento],$C339,tbLancamentos[Momento da falha],"&gt;="&amp;$C$7,tbLancamentos[Momento da falha],"&lt;="&amp;$D$7),""))</f>
        <v/>
      </c>
      <c r="F339" s="97" t="str">
        <f>IF(C339="","",IFERROR(SUMIFS(tbLancamentos[Tempo devido],tbLancamentos[Equipamento],$C339,tbLancamentos[Momento da falha],"&gt;="&amp;$C$7,tbLancamentos[Momento da falha],"&lt;="&amp;$D$7),""))</f>
        <v/>
      </c>
      <c r="G33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3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39" s="127" t="str">
        <f t="shared" si="7"/>
        <v/>
      </c>
    </row>
    <row r="340" spans="2:9" ht="20.100000000000001" customHeight="1" x14ac:dyDescent="0.25">
      <c r="B340" s="94">
        <f>CadEqu!B336</f>
        <v>330</v>
      </c>
      <c r="C340" s="94" t="str">
        <f>IF(CadEqu!F336="","",CadEqu!F336)</f>
        <v/>
      </c>
      <c r="D340" s="97" t="str">
        <f>IF(C340="","",IFERROR(IF(SUMIFS(tbLancamentos[Tempo indisponível],tbLancamentos[Equipamento],$C340,tbLancamentos[Momento da falha],"&gt;="&amp;$C$7,tbLancamentos[Momento da falha],"&lt;="&amp;$D$7)&gt;$E$7,$E$7,SUMIFS(tbLancamentos[Tempo indisponível],tbLancamentos[Equipamento],$C340,tbLancamentos[Momento da falha],"&gt;="&amp;$C$7,tbLancamentos[Momento da falha],"&lt;="&amp;$D$7)),""))</f>
        <v/>
      </c>
      <c r="E340" s="97" t="str">
        <f>IF(C340="","",IFERROR(SUMIFS(tbLancamentos[Meta tempo reparo],tbLancamentos[Equipamento],$C340,tbLancamentos[Momento da falha],"&gt;="&amp;$C$7,tbLancamentos[Momento da falha],"&lt;="&amp;$D$7),""))</f>
        <v/>
      </c>
      <c r="F340" s="97" t="str">
        <f>IF(C340="","",IFERROR(SUMIFS(tbLancamentos[Tempo devido],tbLancamentos[Equipamento],$C340,tbLancamentos[Momento da falha],"&gt;="&amp;$C$7,tbLancamentos[Momento da falha],"&lt;="&amp;$D$7),""))</f>
        <v/>
      </c>
      <c r="G34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0" s="127" t="str">
        <f t="shared" si="7"/>
        <v/>
      </c>
    </row>
    <row r="341" spans="2:9" ht="20.100000000000001" customHeight="1" x14ac:dyDescent="0.25">
      <c r="B341" s="94">
        <f>CadEqu!B337</f>
        <v>331</v>
      </c>
      <c r="C341" s="94" t="str">
        <f>IF(CadEqu!F337="","",CadEqu!F337)</f>
        <v/>
      </c>
      <c r="D341" s="97" t="str">
        <f>IF(C341="","",IFERROR(IF(SUMIFS(tbLancamentos[Tempo indisponível],tbLancamentos[Equipamento],$C341,tbLancamentos[Momento da falha],"&gt;="&amp;$C$7,tbLancamentos[Momento da falha],"&lt;="&amp;$D$7)&gt;$E$7,$E$7,SUMIFS(tbLancamentos[Tempo indisponível],tbLancamentos[Equipamento],$C341,tbLancamentos[Momento da falha],"&gt;="&amp;$C$7,tbLancamentos[Momento da falha],"&lt;="&amp;$D$7)),""))</f>
        <v/>
      </c>
      <c r="E341" s="97" t="str">
        <f>IF(C341="","",IFERROR(SUMIFS(tbLancamentos[Meta tempo reparo],tbLancamentos[Equipamento],$C341,tbLancamentos[Momento da falha],"&gt;="&amp;$C$7,tbLancamentos[Momento da falha],"&lt;="&amp;$D$7),""))</f>
        <v/>
      </c>
      <c r="F341" s="97" t="str">
        <f>IF(C341="","",IFERROR(SUMIFS(tbLancamentos[Tempo devido],tbLancamentos[Equipamento],$C341,tbLancamentos[Momento da falha],"&gt;="&amp;$C$7,tbLancamentos[Momento da falha],"&lt;="&amp;$D$7),""))</f>
        <v/>
      </c>
      <c r="G34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1" s="127" t="str">
        <f t="shared" si="7"/>
        <v/>
      </c>
    </row>
    <row r="342" spans="2:9" ht="20.100000000000001" customHeight="1" x14ac:dyDescent="0.25">
      <c r="B342" s="94">
        <f>CadEqu!B338</f>
        <v>332</v>
      </c>
      <c r="C342" s="94" t="str">
        <f>IF(CadEqu!F338="","",CadEqu!F338)</f>
        <v/>
      </c>
      <c r="D342" s="97" t="str">
        <f>IF(C342="","",IFERROR(IF(SUMIFS(tbLancamentos[Tempo indisponível],tbLancamentos[Equipamento],$C342,tbLancamentos[Momento da falha],"&gt;="&amp;$C$7,tbLancamentos[Momento da falha],"&lt;="&amp;$D$7)&gt;$E$7,$E$7,SUMIFS(tbLancamentos[Tempo indisponível],tbLancamentos[Equipamento],$C342,tbLancamentos[Momento da falha],"&gt;="&amp;$C$7,tbLancamentos[Momento da falha],"&lt;="&amp;$D$7)),""))</f>
        <v/>
      </c>
      <c r="E342" s="97" t="str">
        <f>IF(C342="","",IFERROR(SUMIFS(tbLancamentos[Meta tempo reparo],tbLancamentos[Equipamento],$C342,tbLancamentos[Momento da falha],"&gt;="&amp;$C$7,tbLancamentos[Momento da falha],"&lt;="&amp;$D$7),""))</f>
        <v/>
      </c>
      <c r="F342" s="97" t="str">
        <f>IF(C342="","",IFERROR(SUMIFS(tbLancamentos[Tempo devido],tbLancamentos[Equipamento],$C342,tbLancamentos[Momento da falha],"&gt;="&amp;$C$7,tbLancamentos[Momento da falha],"&lt;="&amp;$D$7),""))</f>
        <v/>
      </c>
      <c r="G34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2" s="127" t="str">
        <f t="shared" si="7"/>
        <v/>
      </c>
    </row>
    <row r="343" spans="2:9" ht="20.100000000000001" customHeight="1" x14ac:dyDescent="0.25">
      <c r="B343" s="94">
        <f>CadEqu!B339</f>
        <v>333</v>
      </c>
      <c r="C343" s="94" t="str">
        <f>IF(CadEqu!F339="","",CadEqu!F339)</f>
        <v/>
      </c>
      <c r="D343" s="97" t="str">
        <f>IF(C343="","",IFERROR(IF(SUMIFS(tbLancamentos[Tempo indisponível],tbLancamentos[Equipamento],$C343,tbLancamentos[Momento da falha],"&gt;="&amp;$C$7,tbLancamentos[Momento da falha],"&lt;="&amp;$D$7)&gt;$E$7,$E$7,SUMIFS(tbLancamentos[Tempo indisponível],tbLancamentos[Equipamento],$C343,tbLancamentos[Momento da falha],"&gt;="&amp;$C$7,tbLancamentos[Momento da falha],"&lt;="&amp;$D$7)),""))</f>
        <v/>
      </c>
      <c r="E343" s="97" t="str">
        <f>IF(C343="","",IFERROR(SUMIFS(tbLancamentos[Meta tempo reparo],tbLancamentos[Equipamento],$C343,tbLancamentos[Momento da falha],"&gt;="&amp;$C$7,tbLancamentos[Momento da falha],"&lt;="&amp;$D$7),""))</f>
        <v/>
      </c>
      <c r="F343" s="97" t="str">
        <f>IF(C343="","",IFERROR(SUMIFS(tbLancamentos[Tempo devido],tbLancamentos[Equipamento],$C343,tbLancamentos[Momento da falha],"&gt;="&amp;$C$7,tbLancamentos[Momento da falha],"&lt;="&amp;$D$7),""))</f>
        <v/>
      </c>
      <c r="G34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3" s="127" t="str">
        <f t="shared" si="7"/>
        <v/>
      </c>
    </row>
    <row r="344" spans="2:9" ht="20.100000000000001" customHeight="1" x14ac:dyDescent="0.25">
      <c r="B344" s="94">
        <f>CadEqu!B340</f>
        <v>334</v>
      </c>
      <c r="C344" s="94" t="str">
        <f>IF(CadEqu!F340="","",CadEqu!F340)</f>
        <v/>
      </c>
      <c r="D344" s="97" t="str">
        <f>IF(C344="","",IFERROR(IF(SUMIFS(tbLancamentos[Tempo indisponível],tbLancamentos[Equipamento],$C344,tbLancamentos[Momento da falha],"&gt;="&amp;$C$7,tbLancamentos[Momento da falha],"&lt;="&amp;$D$7)&gt;$E$7,$E$7,SUMIFS(tbLancamentos[Tempo indisponível],tbLancamentos[Equipamento],$C344,tbLancamentos[Momento da falha],"&gt;="&amp;$C$7,tbLancamentos[Momento da falha],"&lt;="&amp;$D$7)),""))</f>
        <v/>
      </c>
      <c r="E344" s="97" t="str">
        <f>IF(C344="","",IFERROR(SUMIFS(tbLancamentos[Meta tempo reparo],tbLancamentos[Equipamento],$C344,tbLancamentos[Momento da falha],"&gt;="&amp;$C$7,tbLancamentos[Momento da falha],"&lt;="&amp;$D$7),""))</f>
        <v/>
      </c>
      <c r="F344" s="97" t="str">
        <f>IF(C344="","",IFERROR(SUMIFS(tbLancamentos[Tempo devido],tbLancamentos[Equipamento],$C344,tbLancamentos[Momento da falha],"&gt;="&amp;$C$7,tbLancamentos[Momento da falha],"&lt;="&amp;$D$7),""))</f>
        <v/>
      </c>
      <c r="G34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4" s="127" t="str">
        <f t="shared" si="7"/>
        <v/>
      </c>
    </row>
    <row r="345" spans="2:9" ht="20.100000000000001" customHeight="1" x14ac:dyDescent="0.25">
      <c r="B345" s="94">
        <f>CadEqu!B341</f>
        <v>335</v>
      </c>
      <c r="C345" s="94" t="str">
        <f>IF(CadEqu!F341="","",CadEqu!F341)</f>
        <v/>
      </c>
      <c r="D345" s="97" t="str">
        <f>IF(C345="","",IFERROR(IF(SUMIFS(tbLancamentos[Tempo indisponível],tbLancamentos[Equipamento],$C345,tbLancamentos[Momento da falha],"&gt;="&amp;$C$7,tbLancamentos[Momento da falha],"&lt;="&amp;$D$7)&gt;$E$7,$E$7,SUMIFS(tbLancamentos[Tempo indisponível],tbLancamentos[Equipamento],$C345,tbLancamentos[Momento da falha],"&gt;="&amp;$C$7,tbLancamentos[Momento da falha],"&lt;="&amp;$D$7)),""))</f>
        <v/>
      </c>
      <c r="E345" s="97" t="str">
        <f>IF(C345="","",IFERROR(SUMIFS(tbLancamentos[Meta tempo reparo],tbLancamentos[Equipamento],$C345,tbLancamentos[Momento da falha],"&gt;="&amp;$C$7,tbLancamentos[Momento da falha],"&lt;="&amp;$D$7),""))</f>
        <v/>
      </c>
      <c r="F345" s="97" t="str">
        <f>IF(C345="","",IFERROR(SUMIFS(tbLancamentos[Tempo devido],tbLancamentos[Equipamento],$C345,tbLancamentos[Momento da falha],"&gt;="&amp;$C$7,tbLancamentos[Momento da falha],"&lt;="&amp;$D$7),""))</f>
        <v/>
      </c>
      <c r="G34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5" s="127" t="str">
        <f t="shared" si="7"/>
        <v/>
      </c>
    </row>
    <row r="346" spans="2:9" ht="20.100000000000001" customHeight="1" x14ac:dyDescent="0.25">
      <c r="B346" s="94">
        <f>CadEqu!B342</f>
        <v>336</v>
      </c>
      <c r="C346" s="94" t="str">
        <f>IF(CadEqu!F342="","",CadEqu!F342)</f>
        <v/>
      </c>
      <c r="D346" s="97" t="str">
        <f>IF(C346="","",IFERROR(IF(SUMIFS(tbLancamentos[Tempo indisponível],tbLancamentos[Equipamento],$C346,tbLancamentos[Momento da falha],"&gt;="&amp;$C$7,tbLancamentos[Momento da falha],"&lt;="&amp;$D$7)&gt;$E$7,$E$7,SUMIFS(tbLancamentos[Tempo indisponível],tbLancamentos[Equipamento],$C346,tbLancamentos[Momento da falha],"&gt;="&amp;$C$7,tbLancamentos[Momento da falha],"&lt;="&amp;$D$7)),""))</f>
        <v/>
      </c>
      <c r="E346" s="97" t="str">
        <f>IF(C346="","",IFERROR(SUMIFS(tbLancamentos[Meta tempo reparo],tbLancamentos[Equipamento],$C346,tbLancamentos[Momento da falha],"&gt;="&amp;$C$7,tbLancamentos[Momento da falha],"&lt;="&amp;$D$7),""))</f>
        <v/>
      </c>
      <c r="F346" s="97" t="str">
        <f>IF(C346="","",IFERROR(SUMIFS(tbLancamentos[Tempo devido],tbLancamentos[Equipamento],$C346,tbLancamentos[Momento da falha],"&gt;="&amp;$C$7,tbLancamentos[Momento da falha],"&lt;="&amp;$D$7),""))</f>
        <v/>
      </c>
      <c r="G34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6" s="127" t="str">
        <f t="shared" si="7"/>
        <v/>
      </c>
    </row>
    <row r="347" spans="2:9" ht="20.100000000000001" customHeight="1" x14ac:dyDescent="0.25">
      <c r="B347" s="94">
        <f>CadEqu!B343</f>
        <v>337</v>
      </c>
      <c r="C347" s="94" t="str">
        <f>IF(CadEqu!F343="","",CadEqu!F343)</f>
        <v/>
      </c>
      <c r="D347" s="97" t="str">
        <f>IF(C347="","",IFERROR(IF(SUMIFS(tbLancamentos[Tempo indisponível],tbLancamentos[Equipamento],$C347,tbLancamentos[Momento da falha],"&gt;="&amp;$C$7,tbLancamentos[Momento da falha],"&lt;="&amp;$D$7)&gt;$E$7,$E$7,SUMIFS(tbLancamentos[Tempo indisponível],tbLancamentos[Equipamento],$C347,tbLancamentos[Momento da falha],"&gt;="&amp;$C$7,tbLancamentos[Momento da falha],"&lt;="&amp;$D$7)),""))</f>
        <v/>
      </c>
      <c r="E347" s="97" t="str">
        <f>IF(C347="","",IFERROR(SUMIFS(tbLancamentos[Meta tempo reparo],tbLancamentos[Equipamento],$C347,tbLancamentos[Momento da falha],"&gt;="&amp;$C$7,tbLancamentos[Momento da falha],"&lt;="&amp;$D$7),""))</f>
        <v/>
      </c>
      <c r="F347" s="97" t="str">
        <f>IF(C347="","",IFERROR(SUMIFS(tbLancamentos[Tempo devido],tbLancamentos[Equipamento],$C347,tbLancamentos[Momento da falha],"&gt;="&amp;$C$7,tbLancamentos[Momento da falha],"&lt;="&amp;$D$7),""))</f>
        <v/>
      </c>
      <c r="G34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7" s="127" t="str">
        <f t="shared" si="7"/>
        <v/>
      </c>
    </row>
    <row r="348" spans="2:9" ht="20.100000000000001" customHeight="1" x14ac:dyDescent="0.25">
      <c r="B348" s="94">
        <f>CadEqu!B344</f>
        <v>338</v>
      </c>
      <c r="C348" s="94" t="str">
        <f>IF(CadEqu!F344="","",CadEqu!F344)</f>
        <v/>
      </c>
      <c r="D348" s="97" t="str">
        <f>IF(C348="","",IFERROR(IF(SUMIFS(tbLancamentos[Tempo indisponível],tbLancamentos[Equipamento],$C348,tbLancamentos[Momento da falha],"&gt;="&amp;$C$7,tbLancamentos[Momento da falha],"&lt;="&amp;$D$7)&gt;$E$7,$E$7,SUMIFS(tbLancamentos[Tempo indisponível],tbLancamentos[Equipamento],$C348,tbLancamentos[Momento da falha],"&gt;="&amp;$C$7,tbLancamentos[Momento da falha],"&lt;="&amp;$D$7)),""))</f>
        <v/>
      </c>
      <c r="E348" s="97" t="str">
        <f>IF(C348="","",IFERROR(SUMIFS(tbLancamentos[Meta tempo reparo],tbLancamentos[Equipamento],$C348,tbLancamentos[Momento da falha],"&gt;="&amp;$C$7,tbLancamentos[Momento da falha],"&lt;="&amp;$D$7),""))</f>
        <v/>
      </c>
      <c r="F348" s="97" t="str">
        <f>IF(C348="","",IFERROR(SUMIFS(tbLancamentos[Tempo devido],tbLancamentos[Equipamento],$C348,tbLancamentos[Momento da falha],"&gt;="&amp;$C$7,tbLancamentos[Momento da falha],"&lt;="&amp;$D$7),""))</f>
        <v/>
      </c>
      <c r="G34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8" s="127" t="str">
        <f t="shared" si="7"/>
        <v/>
      </c>
    </row>
    <row r="349" spans="2:9" ht="20.100000000000001" customHeight="1" x14ac:dyDescent="0.25">
      <c r="B349" s="94">
        <f>CadEqu!B345</f>
        <v>339</v>
      </c>
      <c r="C349" s="94" t="str">
        <f>IF(CadEqu!F345="","",CadEqu!F345)</f>
        <v/>
      </c>
      <c r="D349" s="97" t="str">
        <f>IF(C349="","",IFERROR(IF(SUMIFS(tbLancamentos[Tempo indisponível],tbLancamentos[Equipamento],$C349,tbLancamentos[Momento da falha],"&gt;="&amp;$C$7,tbLancamentos[Momento da falha],"&lt;="&amp;$D$7)&gt;$E$7,$E$7,SUMIFS(tbLancamentos[Tempo indisponível],tbLancamentos[Equipamento],$C349,tbLancamentos[Momento da falha],"&gt;="&amp;$C$7,tbLancamentos[Momento da falha],"&lt;="&amp;$D$7)),""))</f>
        <v/>
      </c>
      <c r="E349" s="97" t="str">
        <f>IF(C349="","",IFERROR(SUMIFS(tbLancamentos[Meta tempo reparo],tbLancamentos[Equipamento],$C349,tbLancamentos[Momento da falha],"&gt;="&amp;$C$7,tbLancamentos[Momento da falha],"&lt;="&amp;$D$7),""))</f>
        <v/>
      </c>
      <c r="F349" s="97" t="str">
        <f>IF(C349="","",IFERROR(SUMIFS(tbLancamentos[Tempo devido],tbLancamentos[Equipamento],$C349,tbLancamentos[Momento da falha],"&gt;="&amp;$C$7,tbLancamentos[Momento da falha],"&lt;="&amp;$D$7),""))</f>
        <v/>
      </c>
      <c r="G34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4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49" s="127" t="str">
        <f t="shared" si="7"/>
        <v/>
      </c>
    </row>
    <row r="350" spans="2:9" ht="20.100000000000001" customHeight="1" x14ac:dyDescent="0.25">
      <c r="B350" s="94">
        <f>CadEqu!B346</f>
        <v>340</v>
      </c>
      <c r="C350" s="94" t="str">
        <f>IF(CadEqu!F346="","",CadEqu!F346)</f>
        <v/>
      </c>
      <c r="D350" s="97" t="str">
        <f>IF(C350="","",IFERROR(IF(SUMIFS(tbLancamentos[Tempo indisponível],tbLancamentos[Equipamento],$C350,tbLancamentos[Momento da falha],"&gt;="&amp;$C$7,tbLancamentos[Momento da falha],"&lt;="&amp;$D$7)&gt;$E$7,$E$7,SUMIFS(tbLancamentos[Tempo indisponível],tbLancamentos[Equipamento],$C350,tbLancamentos[Momento da falha],"&gt;="&amp;$C$7,tbLancamentos[Momento da falha],"&lt;="&amp;$D$7)),""))</f>
        <v/>
      </c>
      <c r="E350" s="97" t="str">
        <f>IF(C350="","",IFERROR(SUMIFS(tbLancamentos[Meta tempo reparo],tbLancamentos[Equipamento],$C350,tbLancamentos[Momento da falha],"&gt;="&amp;$C$7,tbLancamentos[Momento da falha],"&lt;="&amp;$D$7),""))</f>
        <v/>
      </c>
      <c r="F350" s="97" t="str">
        <f>IF(C350="","",IFERROR(SUMIFS(tbLancamentos[Tempo devido],tbLancamentos[Equipamento],$C350,tbLancamentos[Momento da falha],"&gt;="&amp;$C$7,tbLancamentos[Momento da falha],"&lt;="&amp;$D$7),""))</f>
        <v/>
      </c>
      <c r="G35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0" s="127" t="str">
        <f t="shared" si="7"/>
        <v/>
      </c>
    </row>
    <row r="351" spans="2:9" ht="20.100000000000001" customHeight="1" x14ac:dyDescent="0.25">
      <c r="B351" s="94">
        <f>CadEqu!B347</f>
        <v>341</v>
      </c>
      <c r="C351" s="94" t="str">
        <f>IF(CadEqu!F347="","",CadEqu!F347)</f>
        <v/>
      </c>
      <c r="D351" s="97" t="str">
        <f>IF(C351="","",IFERROR(IF(SUMIFS(tbLancamentos[Tempo indisponível],tbLancamentos[Equipamento],$C351,tbLancamentos[Momento da falha],"&gt;="&amp;$C$7,tbLancamentos[Momento da falha],"&lt;="&amp;$D$7)&gt;$E$7,$E$7,SUMIFS(tbLancamentos[Tempo indisponível],tbLancamentos[Equipamento],$C351,tbLancamentos[Momento da falha],"&gt;="&amp;$C$7,tbLancamentos[Momento da falha],"&lt;="&amp;$D$7)),""))</f>
        <v/>
      </c>
      <c r="E351" s="97" t="str">
        <f>IF(C351="","",IFERROR(SUMIFS(tbLancamentos[Meta tempo reparo],tbLancamentos[Equipamento],$C351,tbLancamentos[Momento da falha],"&gt;="&amp;$C$7,tbLancamentos[Momento da falha],"&lt;="&amp;$D$7),""))</f>
        <v/>
      </c>
      <c r="F351" s="97" t="str">
        <f>IF(C351="","",IFERROR(SUMIFS(tbLancamentos[Tempo devido],tbLancamentos[Equipamento],$C351,tbLancamentos[Momento da falha],"&gt;="&amp;$C$7,tbLancamentos[Momento da falha],"&lt;="&amp;$D$7),""))</f>
        <v/>
      </c>
      <c r="G35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1" s="127" t="str">
        <f t="shared" si="7"/>
        <v/>
      </c>
    </row>
    <row r="352" spans="2:9" ht="20.100000000000001" customHeight="1" x14ac:dyDescent="0.25">
      <c r="B352" s="94">
        <f>CadEqu!B348</f>
        <v>342</v>
      </c>
      <c r="C352" s="94" t="str">
        <f>IF(CadEqu!F348="","",CadEqu!F348)</f>
        <v/>
      </c>
      <c r="D352" s="97" t="str">
        <f>IF(C352="","",IFERROR(IF(SUMIFS(tbLancamentos[Tempo indisponível],tbLancamentos[Equipamento],$C352,tbLancamentos[Momento da falha],"&gt;="&amp;$C$7,tbLancamentos[Momento da falha],"&lt;="&amp;$D$7)&gt;$E$7,$E$7,SUMIFS(tbLancamentos[Tempo indisponível],tbLancamentos[Equipamento],$C352,tbLancamentos[Momento da falha],"&gt;="&amp;$C$7,tbLancamentos[Momento da falha],"&lt;="&amp;$D$7)),""))</f>
        <v/>
      </c>
      <c r="E352" s="97" t="str">
        <f>IF(C352="","",IFERROR(SUMIFS(tbLancamentos[Meta tempo reparo],tbLancamentos[Equipamento],$C352,tbLancamentos[Momento da falha],"&gt;="&amp;$C$7,tbLancamentos[Momento da falha],"&lt;="&amp;$D$7),""))</f>
        <v/>
      </c>
      <c r="F352" s="97" t="str">
        <f>IF(C352="","",IFERROR(SUMIFS(tbLancamentos[Tempo devido],tbLancamentos[Equipamento],$C352,tbLancamentos[Momento da falha],"&gt;="&amp;$C$7,tbLancamentos[Momento da falha],"&lt;="&amp;$D$7),""))</f>
        <v/>
      </c>
      <c r="G35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2" s="127" t="str">
        <f t="shared" si="7"/>
        <v/>
      </c>
    </row>
    <row r="353" spans="2:9" ht="20.100000000000001" customHeight="1" x14ac:dyDescent="0.25">
      <c r="B353" s="94">
        <f>CadEqu!B349</f>
        <v>343</v>
      </c>
      <c r="C353" s="94" t="str">
        <f>IF(CadEqu!F349="","",CadEqu!F349)</f>
        <v/>
      </c>
      <c r="D353" s="97" t="str">
        <f>IF(C353="","",IFERROR(IF(SUMIFS(tbLancamentos[Tempo indisponível],tbLancamentos[Equipamento],$C353,tbLancamentos[Momento da falha],"&gt;="&amp;$C$7,tbLancamentos[Momento da falha],"&lt;="&amp;$D$7)&gt;$E$7,$E$7,SUMIFS(tbLancamentos[Tempo indisponível],tbLancamentos[Equipamento],$C353,tbLancamentos[Momento da falha],"&gt;="&amp;$C$7,tbLancamentos[Momento da falha],"&lt;="&amp;$D$7)),""))</f>
        <v/>
      </c>
      <c r="E353" s="97" t="str">
        <f>IF(C353="","",IFERROR(SUMIFS(tbLancamentos[Meta tempo reparo],tbLancamentos[Equipamento],$C353,tbLancamentos[Momento da falha],"&gt;="&amp;$C$7,tbLancamentos[Momento da falha],"&lt;="&amp;$D$7),""))</f>
        <v/>
      </c>
      <c r="F353" s="97" t="str">
        <f>IF(C353="","",IFERROR(SUMIFS(tbLancamentos[Tempo devido],tbLancamentos[Equipamento],$C353,tbLancamentos[Momento da falha],"&gt;="&amp;$C$7,tbLancamentos[Momento da falha],"&lt;="&amp;$D$7),""))</f>
        <v/>
      </c>
      <c r="G35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3" s="127" t="str">
        <f t="shared" si="7"/>
        <v/>
      </c>
    </row>
    <row r="354" spans="2:9" ht="20.100000000000001" customHeight="1" x14ac:dyDescent="0.25">
      <c r="B354" s="94">
        <f>CadEqu!B350</f>
        <v>344</v>
      </c>
      <c r="C354" s="94" t="str">
        <f>IF(CadEqu!F350="","",CadEqu!F350)</f>
        <v/>
      </c>
      <c r="D354" s="97" t="str">
        <f>IF(C354="","",IFERROR(IF(SUMIFS(tbLancamentos[Tempo indisponível],tbLancamentos[Equipamento],$C354,tbLancamentos[Momento da falha],"&gt;="&amp;$C$7,tbLancamentos[Momento da falha],"&lt;="&amp;$D$7)&gt;$E$7,$E$7,SUMIFS(tbLancamentos[Tempo indisponível],tbLancamentos[Equipamento],$C354,tbLancamentos[Momento da falha],"&gt;="&amp;$C$7,tbLancamentos[Momento da falha],"&lt;="&amp;$D$7)),""))</f>
        <v/>
      </c>
      <c r="E354" s="97" t="str">
        <f>IF(C354="","",IFERROR(SUMIFS(tbLancamentos[Meta tempo reparo],tbLancamentos[Equipamento],$C354,tbLancamentos[Momento da falha],"&gt;="&amp;$C$7,tbLancamentos[Momento da falha],"&lt;="&amp;$D$7),""))</f>
        <v/>
      </c>
      <c r="F354" s="97" t="str">
        <f>IF(C354="","",IFERROR(SUMIFS(tbLancamentos[Tempo devido],tbLancamentos[Equipamento],$C354,tbLancamentos[Momento da falha],"&gt;="&amp;$C$7,tbLancamentos[Momento da falha],"&lt;="&amp;$D$7),""))</f>
        <v/>
      </c>
      <c r="G35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4" s="127" t="str">
        <f t="shared" si="7"/>
        <v/>
      </c>
    </row>
    <row r="355" spans="2:9" ht="20.100000000000001" customHeight="1" x14ac:dyDescent="0.25">
      <c r="B355" s="94">
        <f>CadEqu!B351</f>
        <v>345</v>
      </c>
      <c r="C355" s="94" t="str">
        <f>IF(CadEqu!F351="","",CadEqu!F351)</f>
        <v/>
      </c>
      <c r="D355" s="97" t="str">
        <f>IF(C355="","",IFERROR(IF(SUMIFS(tbLancamentos[Tempo indisponível],tbLancamentos[Equipamento],$C355,tbLancamentos[Momento da falha],"&gt;="&amp;$C$7,tbLancamentos[Momento da falha],"&lt;="&amp;$D$7)&gt;$E$7,$E$7,SUMIFS(tbLancamentos[Tempo indisponível],tbLancamentos[Equipamento],$C355,tbLancamentos[Momento da falha],"&gt;="&amp;$C$7,tbLancamentos[Momento da falha],"&lt;="&amp;$D$7)),""))</f>
        <v/>
      </c>
      <c r="E355" s="97" t="str">
        <f>IF(C355="","",IFERROR(SUMIFS(tbLancamentos[Meta tempo reparo],tbLancamentos[Equipamento],$C355,tbLancamentos[Momento da falha],"&gt;="&amp;$C$7,tbLancamentos[Momento da falha],"&lt;="&amp;$D$7),""))</f>
        <v/>
      </c>
      <c r="F355" s="97" t="str">
        <f>IF(C355="","",IFERROR(SUMIFS(tbLancamentos[Tempo devido],tbLancamentos[Equipamento],$C355,tbLancamentos[Momento da falha],"&gt;="&amp;$C$7,tbLancamentos[Momento da falha],"&lt;="&amp;$D$7),""))</f>
        <v/>
      </c>
      <c r="G35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5" s="127" t="str">
        <f t="shared" si="7"/>
        <v/>
      </c>
    </row>
    <row r="356" spans="2:9" ht="20.100000000000001" customHeight="1" x14ac:dyDescent="0.25">
      <c r="B356" s="94">
        <f>CadEqu!B352</f>
        <v>346</v>
      </c>
      <c r="C356" s="94" t="str">
        <f>IF(CadEqu!F352="","",CadEqu!F352)</f>
        <v/>
      </c>
      <c r="D356" s="97" t="str">
        <f>IF(C356="","",IFERROR(IF(SUMIFS(tbLancamentos[Tempo indisponível],tbLancamentos[Equipamento],$C356,tbLancamentos[Momento da falha],"&gt;="&amp;$C$7,tbLancamentos[Momento da falha],"&lt;="&amp;$D$7)&gt;$E$7,$E$7,SUMIFS(tbLancamentos[Tempo indisponível],tbLancamentos[Equipamento],$C356,tbLancamentos[Momento da falha],"&gt;="&amp;$C$7,tbLancamentos[Momento da falha],"&lt;="&amp;$D$7)),""))</f>
        <v/>
      </c>
      <c r="E356" s="97" t="str">
        <f>IF(C356="","",IFERROR(SUMIFS(tbLancamentos[Meta tempo reparo],tbLancamentos[Equipamento],$C356,tbLancamentos[Momento da falha],"&gt;="&amp;$C$7,tbLancamentos[Momento da falha],"&lt;="&amp;$D$7),""))</f>
        <v/>
      </c>
      <c r="F356" s="97" t="str">
        <f>IF(C356="","",IFERROR(SUMIFS(tbLancamentos[Tempo devido],tbLancamentos[Equipamento],$C356,tbLancamentos[Momento da falha],"&gt;="&amp;$C$7,tbLancamentos[Momento da falha],"&lt;="&amp;$D$7),""))</f>
        <v/>
      </c>
      <c r="G35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6" s="127" t="str">
        <f t="shared" si="7"/>
        <v/>
      </c>
    </row>
    <row r="357" spans="2:9" ht="20.100000000000001" customHeight="1" x14ac:dyDescent="0.25">
      <c r="B357" s="94">
        <f>CadEqu!B353</f>
        <v>347</v>
      </c>
      <c r="C357" s="94" t="str">
        <f>IF(CadEqu!F353="","",CadEqu!F353)</f>
        <v/>
      </c>
      <c r="D357" s="97" t="str">
        <f>IF(C357="","",IFERROR(IF(SUMIFS(tbLancamentos[Tempo indisponível],tbLancamentos[Equipamento],$C357,tbLancamentos[Momento da falha],"&gt;="&amp;$C$7,tbLancamentos[Momento da falha],"&lt;="&amp;$D$7)&gt;$E$7,$E$7,SUMIFS(tbLancamentos[Tempo indisponível],tbLancamentos[Equipamento],$C357,tbLancamentos[Momento da falha],"&gt;="&amp;$C$7,tbLancamentos[Momento da falha],"&lt;="&amp;$D$7)),""))</f>
        <v/>
      </c>
      <c r="E357" s="97" t="str">
        <f>IF(C357="","",IFERROR(SUMIFS(tbLancamentos[Meta tempo reparo],tbLancamentos[Equipamento],$C357,tbLancamentos[Momento da falha],"&gt;="&amp;$C$7,tbLancamentos[Momento da falha],"&lt;="&amp;$D$7),""))</f>
        <v/>
      </c>
      <c r="F357" s="97" t="str">
        <f>IF(C357="","",IFERROR(SUMIFS(tbLancamentos[Tempo devido],tbLancamentos[Equipamento],$C357,tbLancamentos[Momento da falha],"&gt;="&amp;$C$7,tbLancamentos[Momento da falha],"&lt;="&amp;$D$7),""))</f>
        <v/>
      </c>
      <c r="G35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7" s="127" t="str">
        <f t="shared" si="7"/>
        <v/>
      </c>
    </row>
    <row r="358" spans="2:9" ht="20.100000000000001" customHeight="1" x14ac:dyDescent="0.25">
      <c r="B358" s="94">
        <f>CadEqu!B354</f>
        <v>348</v>
      </c>
      <c r="C358" s="94" t="str">
        <f>IF(CadEqu!F354="","",CadEqu!F354)</f>
        <v/>
      </c>
      <c r="D358" s="97" t="str">
        <f>IF(C358="","",IFERROR(IF(SUMIFS(tbLancamentos[Tempo indisponível],tbLancamentos[Equipamento],$C358,tbLancamentos[Momento da falha],"&gt;="&amp;$C$7,tbLancamentos[Momento da falha],"&lt;="&amp;$D$7)&gt;$E$7,$E$7,SUMIFS(tbLancamentos[Tempo indisponível],tbLancamentos[Equipamento],$C358,tbLancamentos[Momento da falha],"&gt;="&amp;$C$7,tbLancamentos[Momento da falha],"&lt;="&amp;$D$7)),""))</f>
        <v/>
      </c>
      <c r="E358" s="97" t="str">
        <f>IF(C358="","",IFERROR(SUMIFS(tbLancamentos[Meta tempo reparo],tbLancamentos[Equipamento],$C358,tbLancamentos[Momento da falha],"&gt;="&amp;$C$7,tbLancamentos[Momento da falha],"&lt;="&amp;$D$7),""))</f>
        <v/>
      </c>
      <c r="F358" s="97" t="str">
        <f>IF(C358="","",IFERROR(SUMIFS(tbLancamentos[Tempo devido],tbLancamentos[Equipamento],$C358,tbLancamentos[Momento da falha],"&gt;="&amp;$C$7,tbLancamentos[Momento da falha],"&lt;="&amp;$D$7),""))</f>
        <v/>
      </c>
      <c r="G35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8" s="127" t="str">
        <f t="shared" si="7"/>
        <v/>
      </c>
    </row>
    <row r="359" spans="2:9" ht="20.100000000000001" customHeight="1" x14ac:dyDescent="0.25">
      <c r="B359" s="94">
        <f>CadEqu!B355</f>
        <v>349</v>
      </c>
      <c r="C359" s="94" t="str">
        <f>IF(CadEqu!F355="","",CadEqu!F355)</f>
        <v/>
      </c>
      <c r="D359" s="97" t="str">
        <f>IF(C359="","",IFERROR(IF(SUMIFS(tbLancamentos[Tempo indisponível],tbLancamentos[Equipamento],$C359,tbLancamentos[Momento da falha],"&gt;="&amp;$C$7,tbLancamentos[Momento da falha],"&lt;="&amp;$D$7)&gt;$E$7,$E$7,SUMIFS(tbLancamentos[Tempo indisponível],tbLancamentos[Equipamento],$C359,tbLancamentos[Momento da falha],"&gt;="&amp;$C$7,tbLancamentos[Momento da falha],"&lt;="&amp;$D$7)),""))</f>
        <v/>
      </c>
      <c r="E359" s="97" t="str">
        <f>IF(C359="","",IFERROR(SUMIFS(tbLancamentos[Meta tempo reparo],tbLancamentos[Equipamento],$C359,tbLancamentos[Momento da falha],"&gt;="&amp;$C$7,tbLancamentos[Momento da falha],"&lt;="&amp;$D$7),""))</f>
        <v/>
      </c>
      <c r="F359" s="97" t="str">
        <f>IF(C359="","",IFERROR(SUMIFS(tbLancamentos[Tempo devido],tbLancamentos[Equipamento],$C359,tbLancamentos[Momento da falha],"&gt;="&amp;$C$7,tbLancamentos[Momento da falha],"&lt;="&amp;$D$7),""))</f>
        <v/>
      </c>
      <c r="G35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5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59" s="127" t="str">
        <f t="shared" si="7"/>
        <v/>
      </c>
    </row>
    <row r="360" spans="2:9" ht="20.100000000000001" customHeight="1" x14ac:dyDescent="0.25">
      <c r="B360" s="94">
        <f>CadEqu!B356</f>
        <v>350</v>
      </c>
      <c r="C360" s="94" t="str">
        <f>IF(CadEqu!F356="","",CadEqu!F356)</f>
        <v/>
      </c>
      <c r="D360" s="97" t="str">
        <f>IF(C360="","",IFERROR(IF(SUMIFS(tbLancamentos[Tempo indisponível],tbLancamentos[Equipamento],$C360,tbLancamentos[Momento da falha],"&gt;="&amp;$C$7,tbLancamentos[Momento da falha],"&lt;="&amp;$D$7)&gt;$E$7,$E$7,SUMIFS(tbLancamentos[Tempo indisponível],tbLancamentos[Equipamento],$C360,tbLancamentos[Momento da falha],"&gt;="&amp;$C$7,tbLancamentos[Momento da falha],"&lt;="&amp;$D$7)),""))</f>
        <v/>
      </c>
      <c r="E360" s="97" t="str">
        <f>IF(C360="","",IFERROR(SUMIFS(tbLancamentos[Meta tempo reparo],tbLancamentos[Equipamento],$C360,tbLancamentos[Momento da falha],"&gt;="&amp;$C$7,tbLancamentos[Momento da falha],"&lt;="&amp;$D$7),""))</f>
        <v/>
      </c>
      <c r="F360" s="97" t="str">
        <f>IF(C360="","",IFERROR(SUMIFS(tbLancamentos[Tempo devido],tbLancamentos[Equipamento],$C360,tbLancamentos[Momento da falha],"&gt;="&amp;$C$7,tbLancamentos[Momento da falha],"&lt;="&amp;$D$7),""))</f>
        <v/>
      </c>
      <c r="G36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0" s="127" t="str">
        <f t="shared" si="7"/>
        <v/>
      </c>
    </row>
    <row r="361" spans="2:9" ht="20.100000000000001" customHeight="1" x14ac:dyDescent="0.25">
      <c r="B361" s="94">
        <f>CadEqu!B357</f>
        <v>351</v>
      </c>
      <c r="C361" s="94" t="str">
        <f>IF(CadEqu!F357="","",CadEqu!F357)</f>
        <v/>
      </c>
      <c r="D361" s="97" t="str">
        <f>IF(C361="","",IFERROR(IF(SUMIFS(tbLancamentos[Tempo indisponível],tbLancamentos[Equipamento],$C361,tbLancamentos[Momento da falha],"&gt;="&amp;$C$7,tbLancamentos[Momento da falha],"&lt;="&amp;$D$7)&gt;$E$7,$E$7,SUMIFS(tbLancamentos[Tempo indisponível],tbLancamentos[Equipamento],$C361,tbLancamentos[Momento da falha],"&gt;="&amp;$C$7,tbLancamentos[Momento da falha],"&lt;="&amp;$D$7)),""))</f>
        <v/>
      </c>
      <c r="E361" s="97" t="str">
        <f>IF(C361="","",IFERROR(SUMIFS(tbLancamentos[Meta tempo reparo],tbLancamentos[Equipamento],$C361,tbLancamentos[Momento da falha],"&gt;="&amp;$C$7,tbLancamentos[Momento da falha],"&lt;="&amp;$D$7),""))</f>
        <v/>
      </c>
      <c r="F361" s="97" t="str">
        <f>IF(C361="","",IFERROR(SUMIFS(tbLancamentos[Tempo devido],tbLancamentos[Equipamento],$C361,tbLancamentos[Momento da falha],"&gt;="&amp;$C$7,tbLancamentos[Momento da falha],"&lt;="&amp;$D$7),""))</f>
        <v/>
      </c>
      <c r="G36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1" s="127" t="str">
        <f t="shared" si="7"/>
        <v/>
      </c>
    </row>
    <row r="362" spans="2:9" ht="20.100000000000001" customHeight="1" x14ac:dyDescent="0.25">
      <c r="B362" s="94">
        <f>CadEqu!B358</f>
        <v>352</v>
      </c>
      <c r="C362" s="94" t="str">
        <f>IF(CadEqu!F358="","",CadEqu!F358)</f>
        <v/>
      </c>
      <c r="D362" s="97" t="str">
        <f>IF(C362="","",IFERROR(IF(SUMIFS(tbLancamentos[Tempo indisponível],tbLancamentos[Equipamento],$C362,tbLancamentos[Momento da falha],"&gt;="&amp;$C$7,tbLancamentos[Momento da falha],"&lt;="&amp;$D$7)&gt;$E$7,$E$7,SUMIFS(tbLancamentos[Tempo indisponível],tbLancamentos[Equipamento],$C362,tbLancamentos[Momento da falha],"&gt;="&amp;$C$7,tbLancamentos[Momento da falha],"&lt;="&amp;$D$7)),""))</f>
        <v/>
      </c>
      <c r="E362" s="97" t="str">
        <f>IF(C362="","",IFERROR(SUMIFS(tbLancamentos[Meta tempo reparo],tbLancamentos[Equipamento],$C362,tbLancamentos[Momento da falha],"&gt;="&amp;$C$7,tbLancamentos[Momento da falha],"&lt;="&amp;$D$7),""))</f>
        <v/>
      </c>
      <c r="F362" s="97" t="str">
        <f>IF(C362="","",IFERROR(SUMIFS(tbLancamentos[Tempo devido],tbLancamentos[Equipamento],$C362,tbLancamentos[Momento da falha],"&gt;="&amp;$C$7,tbLancamentos[Momento da falha],"&lt;="&amp;$D$7),""))</f>
        <v/>
      </c>
      <c r="G36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2" s="127" t="str">
        <f t="shared" si="7"/>
        <v/>
      </c>
    </row>
    <row r="363" spans="2:9" ht="20.100000000000001" customHeight="1" x14ac:dyDescent="0.25">
      <c r="B363" s="94">
        <f>CadEqu!B359</f>
        <v>353</v>
      </c>
      <c r="C363" s="94" t="str">
        <f>IF(CadEqu!F359="","",CadEqu!F359)</f>
        <v/>
      </c>
      <c r="D363" s="97" t="str">
        <f>IF(C363="","",IFERROR(IF(SUMIFS(tbLancamentos[Tempo indisponível],tbLancamentos[Equipamento],$C363,tbLancamentos[Momento da falha],"&gt;="&amp;$C$7,tbLancamentos[Momento da falha],"&lt;="&amp;$D$7)&gt;$E$7,$E$7,SUMIFS(tbLancamentos[Tempo indisponível],tbLancamentos[Equipamento],$C363,tbLancamentos[Momento da falha],"&gt;="&amp;$C$7,tbLancamentos[Momento da falha],"&lt;="&amp;$D$7)),""))</f>
        <v/>
      </c>
      <c r="E363" s="97" t="str">
        <f>IF(C363="","",IFERROR(SUMIFS(tbLancamentos[Meta tempo reparo],tbLancamentos[Equipamento],$C363,tbLancamentos[Momento da falha],"&gt;="&amp;$C$7,tbLancamentos[Momento da falha],"&lt;="&amp;$D$7),""))</f>
        <v/>
      </c>
      <c r="F363" s="97" t="str">
        <f>IF(C363="","",IFERROR(SUMIFS(tbLancamentos[Tempo devido],tbLancamentos[Equipamento],$C363,tbLancamentos[Momento da falha],"&gt;="&amp;$C$7,tbLancamentos[Momento da falha],"&lt;="&amp;$D$7),""))</f>
        <v/>
      </c>
      <c r="G36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3" s="127" t="str">
        <f t="shared" si="7"/>
        <v/>
      </c>
    </row>
    <row r="364" spans="2:9" ht="20.100000000000001" customHeight="1" x14ac:dyDescent="0.25">
      <c r="B364" s="94">
        <f>CadEqu!B360</f>
        <v>354</v>
      </c>
      <c r="C364" s="94" t="str">
        <f>IF(CadEqu!F360="","",CadEqu!F360)</f>
        <v/>
      </c>
      <c r="D364" s="97" t="str">
        <f>IF(C364="","",IFERROR(IF(SUMIFS(tbLancamentos[Tempo indisponível],tbLancamentos[Equipamento],$C364,tbLancamentos[Momento da falha],"&gt;="&amp;$C$7,tbLancamentos[Momento da falha],"&lt;="&amp;$D$7)&gt;$E$7,$E$7,SUMIFS(tbLancamentos[Tempo indisponível],tbLancamentos[Equipamento],$C364,tbLancamentos[Momento da falha],"&gt;="&amp;$C$7,tbLancamentos[Momento da falha],"&lt;="&amp;$D$7)),""))</f>
        <v/>
      </c>
      <c r="E364" s="97" t="str">
        <f>IF(C364="","",IFERROR(SUMIFS(tbLancamentos[Meta tempo reparo],tbLancamentos[Equipamento],$C364,tbLancamentos[Momento da falha],"&gt;="&amp;$C$7,tbLancamentos[Momento da falha],"&lt;="&amp;$D$7),""))</f>
        <v/>
      </c>
      <c r="F364" s="97" t="str">
        <f>IF(C364="","",IFERROR(SUMIFS(tbLancamentos[Tempo devido],tbLancamentos[Equipamento],$C364,tbLancamentos[Momento da falha],"&gt;="&amp;$C$7,tbLancamentos[Momento da falha],"&lt;="&amp;$D$7),""))</f>
        <v/>
      </c>
      <c r="G36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4" s="127" t="str">
        <f t="shared" si="7"/>
        <v/>
      </c>
    </row>
    <row r="365" spans="2:9" ht="20.100000000000001" customHeight="1" x14ac:dyDescent="0.25">
      <c r="B365" s="94">
        <f>CadEqu!B361</f>
        <v>355</v>
      </c>
      <c r="C365" s="94" t="str">
        <f>IF(CadEqu!F361="","",CadEqu!F361)</f>
        <v/>
      </c>
      <c r="D365" s="97" t="str">
        <f>IF(C365="","",IFERROR(IF(SUMIFS(tbLancamentos[Tempo indisponível],tbLancamentos[Equipamento],$C365,tbLancamentos[Momento da falha],"&gt;="&amp;$C$7,tbLancamentos[Momento da falha],"&lt;="&amp;$D$7)&gt;$E$7,$E$7,SUMIFS(tbLancamentos[Tempo indisponível],tbLancamentos[Equipamento],$C365,tbLancamentos[Momento da falha],"&gt;="&amp;$C$7,tbLancamentos[Momento da falha],"&lt;="&amp;$D$7)),""))</f>
        <v/>
      </c>
      <c r="E365" s="97" t="str">
        <f>IF(C365="","",IFERROR(SUMIFS(tbLancamentos[Meta tempo reparo],tbLancamentos[Equipamento],$C365,tbLancamentos[Momento da falha],"&gt;="&amp;$C$7,tbLancamentos[Momento da falha],"&lt;="&amp;$D$7),""))</f>
        <v/>
      </c>
      <c r="F365" s="97" t="str">
        <f>IF(C365="","",IFERROR(SUMIFS(tbLancamentos[Tempo devido],tbLancamentos[Equipamento],$C365,tbLancamentos[Momento da falha],"&gt;="&amp;$C$7,tbLancamentos[Momento da falha],"&lt;="&amp;$D$7),""))</f>
        <v/>
      </c>
      <c r="G36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5" s="127" t="str">
        <f t="shared" si="7"/>
        <v/>
      </c>
    </row>
    <row r="366" spans="2:9" ht="20.100000000000001" customHeight="1" x14ac:dyDescent="0.25">
      <c r="B366" s="94">
        <f>CadEqu!B362</f>
        <v>356</v>
      </c>
      <c r="C366" s="94" t="str">
        <f>IF(CadEqu!F362="","",CadEqu!F362)</f>
        <v/>
      </c>
      <c r="D366" s="97" t="str">
        <f>IF(C366="","",IFERROR(IF(SUMIFS(tbLancamentos[Tempo indisponível],tbLancamentos[Equipamento],$C366,tbLancamentos[Momento da falha],"&gt;="&amp;$C$7,tbLancamentos[Momento da falha],"&lt;="&amp;$D$7)&gt;$E$7,$E$7,SUMIFS(tbLancamentos[Tempo indisponível],tbLancamentos[Equipamento],$C366,tbLancamentos[Momento da falha],"&gt;="&amp;$C$7,tbLancamentos[Momento da falha],"&lt;="&amp;$D$7)),""))</f>
        <v/>
      </c>
      <c r="E366" s="97" t="str">
        <f>IF(C366="","",IFERROR(SUMIFS(tbLancamentos[Meta tempo reparo],tbLancamentos[Equipamento],$C366,tbLancamentos[Momento da falha],"&gt;="&amp;$C$7,tbLancamentos[Momento da falha],"&lt;="&amp;$D$7),""))</f>
        <v/>
      </c>
      <c r="F366" s="97" t="str">
        <f>IF(C366="","",IFERROR(SUMIFS(tbLancamentos[Tempo devido],tbLancamentos[Equipamento],$C366,tbLancamentos[Momento da falha],"&gt;="&amp;$C$7,tbLancamentos[Momento da falha],"&lt;="&amp;$D$7),""))</f>
        <v/>
      </c>
      <c r="G36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6" s="127" t="str">
        <f t="shared" si="7"/>
        <v/>
      </c>
    </row>
    <row r="367" spans="2:9" ht="20.100000000000001" customHeight="1" x14ac:dyDescent="0.25">
      <c r="B367" s="94">
        <f>CadEqu!B363</f>
        <v>357</v>
      </c>
      <c r="C367" s="94" t="str">
        <f>IF(CadEqu!F363="","",CadEqu!F363)</f>
        <v/>
      </c>
      <c r="D367" s="97" t="str">
        <f>IF(C367="","",IFERROR(IF(SUMIFS(tbLancamentos[Tempo indisponível],tbLancamentos[Equipamento],$C367,tbLancamentos[Momento da falha],"&gt;="&amp;$C$7,tbLancamentos[Momento da falha],"&lt;="&amp;$D$7)&gt;$E$7,$E$7,SUMIFS(tbLancamentos[Tempo indisponível],tbLancamentos[Equipamento],$C367,tbLancamentos[Momento da falha],"&gt;="&amp;$C$7,tbLancamentos[Momento da falha],"&lt;="&amp;$D$7)),""))</f>
        <v/>
      </c>
      <c r="E367" s="97" t="str">
        <f>IF(C367="","",IFERROR(SUMIFS(tbLancamentos[Meta tempo reparo],tbLancamentos[Equipamento],$C367,tbLancamentos[Momento da falha],"&gt;="&amp;$C$7,tbLancamentos[Momento da falha],"&lt;="&amp;$D$7),""))</f>
        <v/>
      </c>
      <c r="F367" s="97" t="str">
        <f>IF(C367="","",IFERROR(SUMIFS(tbLancamentos[Tempo devido],tbLancamentos[Equipamento],$C367,tbLancamentos[Momento da falha],"&gt;="&amp;$C$7,tbLancamentos[Momento da falha],"&lt;="&amp;$D$7),""))</f>
        <v/>
      </c>
      <c r="G36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7" s="127" t="str">
        <f t="shared" si="7"/>
        <v/>
      </c>
    </row>
    <row r="368" spans="2:9" ht="20.100000000000001" customHeight="1" x14ac:dyDescent="0.25">
      <c r="B368" s="94">
        <f>CadEqu!B364</f>
        <v>358</v>
      </c>
      <c r="C368" s="94" t="str">
        <f>IF(CadEqu!F364="","",CadEqu!F364)</f>
        <v/>
      </c>
      <c r="D368" s="97" t="str">
        <f>IF(C368="","",IFERROR(IF(SUMIFS(tbLancamentos[Tempo indisponível],tbLancamentos[Equipamento],$C368,tbLancamentos[Momento da falha],"&gt;="&amp;$C$7,tbLancamentos[Momento da falha],"&lt;="&amp;$D$7)&gt;$E$7,$E$7,SUMIFS(tbLancamentos[Tempo indisponível],tbLancamentos[Equipamento],$C368,tbLancamentos[Momento da falha],"&gt;="&amp;$C$7,tbLancamentos[Momento da falha],"&lt;="&amp;$D$7)),""))</f>
        <v/>
      </c>
      <c r="E368" s="97" t="str">
        <f>IF(C368="","",IFERROR(SUMIFS(tbLancamentos[Meta tempo reparo],tbLancamentos[Equipamento],$C368,tbLancamentos[Momento da falha],"&gt;="&amp;$C$7,tbLancamentos[Momento da falha],"&lt;="&amp;$D$7),""))</f>
        <v/>
      </c>
      <c r="F368" s="97" t="str">
        <f>IF(C368="","",IFERROR(SUMIFS(tbLancamentos[Tempo devido],tbLancamentos[Equipamento],$C368,tbLancamentos[Momento da falha],"&gt;="&amp;$C$7,tbLancamentos[Momento da falha],"&lt;="&amp;$D$7),""))</f>
        <v/>
      </c>
      <c r="G36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8" s="127" t="str">
        <f t="shared" si="7"/>
        <v/>
      </c>
    </row>
    <row r="369" spans="2:9" ht="20.100000000000001" customHeight="1" x14ac:dyDescent="0.25">
      <c r="B369" s="94">
        <f>CadEqu!B365</f>
        <v>359</v>
      </c>
      <c r="C369" s="94" t="str">
        <f>IF(CadEqu!F365="","",CadEqu!F365)</f>
        <v/>
      </c>
      <c r="D369" s="97" t="str">
        <f>IF(C369="","",IFERROR(IF(SUMIFS(tbLancamentos[Tempo indisponível],tbLancamentos[Equipamento],$C369,tbLancamentos[Momento da falha],"&gt;="&amp;$C$7,tbLancamentos[Momento da falha],"&lt;="&amp;$D$7)&gt;$E$7,$E$7,SUMIFS(tbLancamentos[Tempo indisponível],tbLancamentos[Equipamento],$C369,tbLancamentos[Momento da falha],"&gt;="&amp;$C$7,tbLancamentos[Momento da falha],"&lt;="&amp;$D$7)),""))</f>
        <v/>
      </c>
      <c r="E369" s="97" t="str">
        <f>IF(C369="","",IFERROR(SUMIFS(tbLancamentos[Meta tempo reparo],tbLancamentos[Equipamento],$C369,tbLancamentos[Momento da falha],"&gt;="&amp;$C$7,tbLancamentos[Momento da falha],"&lt;="&amp;$D$7),""))</f>
        <v/>
      </c>
      <c r="F369" s="97" t="str">
        <f>IF(C369="","",IFERROR(SUMIFS(tbLancamentos[Tempo devido],tbLancamentos[Equipamento],$C369,tbLancamentos[Momento da falha],"&gt;="&amp;$C$7,tbLancamentos[Momento da falha],"&lt;="&amp;$D$7),""))</f>
        <v/>
      </c>
      <c r="G36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6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69" s="127" t="str">
        <f t="shared" si="7"/>
        <v/>
      </c>
    </row>
    <row r="370" spans="2:9" ht="20.100000000000001" customHeight="1" x14ac:dyDescent="0.25">
      <c r="B370" s="94">
        <f>CadEqu!B366</f>
        <v>360</v>
      </c>
      <c r="C370" s="94" t="str">
        <f>IF(CadEqu!F366="","",CadEqu!F366)</f>
        <v/>
      </c>
      <c r="D370" s="97" t="str">
        <f>IF(C370="","",IFERROR(IF(SUMIFS(tbLancamentos[Tempo indisponível],tbLancamentos[Equipamento],$C370,tbLancamentos[Momento da falha],"&gt;="&amp;$C$7,tbLancamentos[Momento da falha],"&lt;="&amp;$D$7)&gt;$E$7,$E$7,SUMIFS(tbLancamentos[Tempo indisponível],tbLancamentos[Equipamento],$C370,tbLancamentos[Momento da falha],"&gt;="&amp;$C$7,tbLancamentos[Momento da falha],"&lt;="&amp;$D$7)),""))</f>
        <v/>
      </c>
      <c r="E370" s="97" t="str">
        <f>IF(C370="","",IFERROR(SUMIFS(tbLancamentos[Meta tempo reparo],tbLancamentos[Equipamento],$C370,tbLancamentos[Momento da falha],"&gt;="&amp;$C$7,tbLancamentos[Momento da falha],"&lt;="&amp;$D$7),""))</f>
        <v/>
      </c>
      <c r="F370" s="97" t="str">
        <f>IF(C370="","",IFERROR(SUMIFS(tbLancamentos[Tempo devido],tbLancamentos[Equipamento],$C370,tbLancamentos[Momento da falha],"&gt;="&amp;$C$7,tbLancamentos[Momento da falha],"&lt;="&amp;$D$7),""))</f>
        <v/>
      </c>
      <c r="G37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0" s="127" t="str">
        <f t="shared" si="7"/>
        <v/>
      </c>
    </row>
    <row r="371" spans="2:9" ht="20.100000000000001" customHeight="1" x14ac:dyDescent="0.25">
      <c r="B371" s="94">
        <f>CadEqu!B367</f>
        <v>361</v>
      </c>
      <c r="C371" s="94" t="str">
        <f>IF(CadEqu!F367="","",CadEqu!F367)</f>
        <v/>
      </c>
      <c r="D371" s="97" t="str">
        <f>IF(C371="","",IFERROR(IF(SUMIFS(tbLancamentos[Tempo indisponível],tbLancamentos[Equipamento],$C371,tbLancamentos[Momento da falha],"&gt;="&amp;$C$7,tbLancamentos[Momento da falha],"&lt;="&amp;$D$7)&gt;$E$7,$E$7,SUMIFS(tbLancamentos[Tempo indisponível],tbLancamentos[Equipamento],$C371,tbLancamentos[Momento da falha],"&gt;="&amp;$C$7,tbLancamentos[Momento da falha],"&lt;="&amp;$D$7)),""))</f>
        <v/>
      </c>
      <c r="E371" s="97" t="str">
        <f>IF(C371="","",IFERROR(SUMIFS(tbLancamentos[Meta tempo reparo],tbLancamentos[Equipamento],$C371,tbLancamentos[Momento da falha],"&gt;="&amp;$C$7,tbLancamentos[Momento da falha],"&lt;="&amp;$D$7),""))</f>
        <v/>
      </c>
      <c r="F371" s="97" t="str">
        <f>IF(C371="","",IFERROR(SUMIFS(tbLancamentos[Tempo devido],tbLancamentos[Equipamento],$C371,tbLancamentos[Momento da falha],"&gt;="&amp;$C$7,tbLancamentos[Momento da falha],"&lt;="&amp;$D$7),""))</f>
        <v/>
      </c>
      <c r="G37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1" s="127" t="str">
        <f t="shared" si="7"/>
        <v/>
      </c>
    </row>
    <row r="372" spans="2:9" ht="20.100000000000001" customHeight="1" x14ac:dyDescent="0.25">
      <c r="B372" s="94">
        <f>CadEqu!B368</f>
        <v>362</v>
      </c>
      <c r="C372" s="94" t="str">
        <f>IF(CadEqu!F368="","",CadEqu!F368)</f>
        <v/>
      </c>
      <c r="D372" s="97" t="str">
        <f>IF(C372="","",IFERROR(IF(SUMIFS(tbLancamentos[Tempo indisponível],tbLancamentos[Equipamento],$C372,tbLancamentos[Momento da falha],"&gt;="&amp;$C$7,tbLancamentos[Momento da falha],"&lt;="&amp;$D$7)&gt;$E$7,$E$7,SUMIFS(tbLancamentos[Tempo indisponível],tbLancamentos[Equipamento],$C372,tbLancamentos[Momento da falha],"&gt;="&amp;$C$7,tbLancamentos[Momento da falha],"&lt;="&amp;$D$7)),""))</f>
        <v/>
      </c>
      <c r="E372" s="97" t="str">
        <f>IF(C372="","",IFERROR(SUMIFS(tbLancamentos[Meta tempo reparo],tbLancamentos[Equipamento],$C372,tbLancamentos[Momento da falha],"&gt;="&amp;$C$7,tbLancamentos[Momento da falha],"&lt;="&amp;$D$7),""))</f>
        <v/>
      </c>
      <c r="F372" s="97" t="str">
        <f>IF(C372="","",IFERROR(SUMIFS(tbLancamentos[Tempo devido],tbLancamentos[Equipamento],$C372,tbLancamentos[Momento da falha],"&gt;="&amp;$C$7,tbLancamentos[Momento da falha],"&lt;="&amp;$D$7),""))</f>
        <v/>
      </c>
      <c r="G37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2" s="127" t="str">
        <f t="shared" si="7"/>
        <v/>
      </c>
    </row>
    <row r="373" spans="2:9" ht="20.100000000000001" customHeight="1" x14ac:dyDescent="0.25">
      <c r="B373" s="94">
        <f>CadEqu!B369</f>
        <v>363</v>
      </c>
      <c r="C373" s="94" t="str">
        <f>IF(CadEqu!F369="","",CadEqu!F369)</f>
        <v/>
      </c>
      <c r="D373" s="97" t="str">
        <f>IF(C373="","",IFERROR(IF(SUMIFS(tbLancamentos[Tempo indisponível],tbLancamentos[Equipamento],$C373,tbLancamentos[Momento da falha],"&gt;="&amp;$C$7,tbLancamentos[Momento da falha],"&lt;="&amp;$D$7)&gt;$E$7,$E$7,SUMIFS(tbLancamentos[Tempo indisponível],tbLancamentos[Equipamento],$C373,tbLancamentos[Momento da falha],"&gt;="&amp;$C$7,tbLancamentos[Momento da falha],"&lt;="&amp;$D$7)),""))</f>
        <v/>
      </c>
      <c r="E373" s="97" t="str">
        <f>IF(C373="","",IFERROR(SUMIFS(tbLancamentos[Meta tempo reparo],tbLancamentos[Equipamento],$C373,tbLancamentos[Momento da falha],"&gt;="&amp;$C$7,tbLancamentos[Momento da falha],"&lt;="&amp;$D$7),""))</f>
        <v/>
      </c>
      <c r="F373" s="97" t="str">
        <f>IF(C373="","",IFERROR(SUMIFS(tbLancamentos[Tempo devido],tbLancamentos[Equipamento],$C373,tbLancamentos[Momento da falha],"&gt;="&amp;$C$7,tbLancamentos[Momento da falha],"&lt;="&amp;$D$7),""))</f>
        <v/>
      </c>
      <c r="G37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3" s="127" t="str">
        <f t="shared" si="7"/>
        <v/>
      </c>
    </row>
    <row r="374" spans="2:9" ht="20.100000000000001" customHeight="1" x14ac:dyDescent="0.25">
      <c r="B374" s="94">
        <f>CadEqu!B370</f>
        <v>364</v>
      </c>
      <c r="C374" s="94" t="str">
        <f>IF(CadEqu!F370="","",CadEqu!F370)</f>
        <v/>
      </c>
      <c r="D374" s="97" t="str">
        <f>IF(C374="","",IFERROR(IF(SUMIFS(tbLancamentos[Tempo indisponível],tbLancamentos[Equipamento],$C374,tbLancamentos[Momento da falha],"&gt;="&amp;$C$7,tbLancamentos[Momento da falha],"&lt;="&amp;$D$7)&gt;$E$7,$E$7,SUMIFS(tbLancamentos[Tempo indisponível],tbLancamentos[Equipamento],$C374,tbLancamentos[Momento da falha],"&gt;="&amp;$C$7,tbLancamentos[Momento da falha],"&lt;="&amp;$D$7)),""))</f>
        <v/>
      </c>
      <c r="E374" s="97" t="str">
        <f>IF(C374="","",IFERROR(SUMIFS(tbLancamentos[Meta tempo reparo],tbLancamentos[Equipamento],$C374,tbLancamentos[Momento da falha],"&gt;="&amp;$C$7,tbLancamentos[Momento da falha],"&lt;="&amp;$D$7),""))</f>
        <v/>
      </c>
      <c r="F374" s="97" t="str">
        <f>IF(C374="","",IFERROR(SUMIFS(tbLancamentos[Tempo devido],tbLancamentos[Equipamento],$C374,tbLancamentos[Momento da falha],"&gt;="&amp;$C$7,tbLancamentos[Momento da falha],"&lt;="&amp;$D$7),""))</f>
        <v/>
      </c>
      <c r="G37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4" s="127" t="str">
        <f t="shared" si="7"/>
        <v/>
      </c>
    </row>
    <row r="375" spans="2:9" ht="20.100000000000001" customHeight="1" x14ac:dyDescent="0.25">
      <c r="B375" s="94">
        <f>CadEqu!B371</f>
        <v>365</v>
      </c>
      <c r="C375" s="94" t="str">
        <f>IF(CadEqu!F371="","",CadEqu!F371)</f>
        <v/>
      </c>
      <c r="D375" s="97" t="str">
        <f>IF(C375="","",IFERROR(IF(SUMIFS(tbLancamentos[Tempo indisponível],tbLancamentos[Equipamento],$C375,tbLancamentos[Momento da falha],"&gt;="&amp;$C$7,tbLancamentos[Momento da falha],"&lt;="&amp;$D$7)&gt;$E$7,$E$7,SUMIFS(tbLancamentos[Tempo indisponível],tbLancamentos[Equipamento],$C375,tbLancamentos[Momento da falha],"&gt;="&amp;$C$7,tbLancamentos[Momento da falha],"&lt;="&amp;$D$7)),""))</f>
        <v/>
      </c>
      <c r="E375" s="97" t="str">
        <f>IF(C375="","",IFERROR(SUMIFS(tbLancamentos[Meta tempo reparo],tbLancamentos[Equipamento],$C375,tbLancamentos[Momento da falha],"&gt;="&amp;$C$7,tbLancamentos[Momento da falha],"&lt;="&amp;$D$7),""))</f>
        <v/>
      </c>
      <c r="F375" s="97" t="str">
        <f>IF(C375="","",IFERROR(SUMIFS(tbLancamentos[Tempo devido],tbLancamentos[Equipamento],$C375,tbLancamentos[Momento da falha],"&gt;="&amp;$C$7,tbLancamentos[Momento da falha],"&lt;="&amp;$D$7),""))</f>
        <v/>
      </c>
      <c r="G37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5" s="127" t="str">
        <f t="shared" si="7"/>
        <v/>
      </c>
    </row>
    <row r="376" spans="2:9" ht="20.100000000000001" customHeight="1" x14ac:dyDescent="0.25">
      <c r="B376" s="94">
        <f>CadEqu!B372</f>
        <v>366</v>
      </c>
      <c r="C376" s="94" t="str">
        <f>IF(CadEqu!F372="","",CadEqu!F372)</f>
        <v/>
      </c>
      <c r="D376" s="97" t="str">
        <f>IF(C376="","",IFERROR(IF(SUMIFS(tbLancamentos[Tempo indisponível],tbLancamentos[Equipamento],$C376,tbLancamentos[Momento da falha],"&gt;="&amp;$C$7,tbLancamentos[Momento da falha],"&lt;="&amp;$D$7)&gt;$E$7,$E$7,SUMIFS(tbLancamentos[Tempo indisponível],tbLancamentos[Equipamento],$C376,tbLancamentos[Momento da falha],"&gt;="&amp;$C$7,tbLancamentos[Momento da falha],"&lt;="&amp;$D$7)),""))</f>
        <v/>
      </c>
      <c r="E376" s="97" t="str">
        <f>IF(C376="","",IFERROR(SUMIFS(tbLancamentos[Meta tempo reparo],tbLancamentos[Equipamento],$C376,tbLancamentos[Momento da falha],"&gt;="&amp;$C$7,tbLancamentos[Momento da falha],"&lt;="&amp;$D$7),""))</f>
        <v/>
      </c>
      <c r="F376" s="97" t="str">
        <f>IF(C376="","",IFERROR(SUMIFS(tbLancamentos[Tempo devido],tbLancamentos[Equipamento],$C376,tbLancamentos[Momento da falha],"&gt;="&amp;$C$7,tbLancamentos[Momento da falha],"&lt;="&amp;$D$7),""))</f>
        <v/>
      </c>
      <c r="G37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6" s="127" t="str">
        <f t="shared" si="7"/>
        <v/>
      </c>
    </row>
    <row r="377" spans="2:9" ht="20.100000000000001" customHeight="1" x14ac:dyDescent="0.25">
      <c r="B377" s="94">
        <f>CadEqu!B373</f>
        <v>367</v>
      </c>
      <c r="C377" s="94" t="str">
        <f>IF(CadEqu!F373="","",CadEqu!F373)</f>
        <v/>
      </c>
      <c r="D377" s="97" t="str">
        <f>IF(C377="","",IFERROR(IF(SUMIFS(tbLancamentos[Tempo indisponível],tbLancamentos[Equipamento],$C377,tbLancamentos[Momento da falha],"&gt;="&amp;$C$7,tbLancamentos[Momento da falha],"&lt;="&amp;$D$7)&gt;$E$7,$E$7,SUMIFS(tbLancamentos[Tempo indisponível],tbLancamentos[Equipamento],$C377,tbLancamentos[Momento da falha],"&gt;="&amp;$C$7,tbLancamentos[Momento da falha],"&lt;="&amp;$D$7)),""))</f>
        <v/>
      </c>
      <c r="E377" s="97" t="str">
        <f>IF(C377="","",IFERROR(SUMIFS(tbLancamentos[Meta tempo reparo],tbLancamentos[Equipamento],$C377,tbLancamentos[Momento da falha],"&gt;="&amp;$C$7,tbLancamentos[Momento da falha],"&lt;="&amp;$D$7),""))</f>
        <v/>
      </c>
      <c r="F377" s="97" t="str">
        <f>IF(C377="","",IFERROR(SUMIFS(tbLancamentos[Tempo devido],tbLancamentos[Equipamento],$C377,tbLancamentos[Momento da falha],"&gt;="&amp;$C$7,tbLancamentos[Momento da falha],"&lt;="&amp;$D$7),""))</f>
        <v/>
      </c>
      <c r="G37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7" s="127" t="str">
        <f t="shared" si="7"/>
        <v/>
      </c>
    </row>
    <row r="378" spans="2:9" ht="20.100000000000001" customHeight="1" x14ac:dyDescent="0.25">
      <c r="B378" s="94">
        <f>CadEqu!B374</f>
        <v>368</v>
      </c>
      <c r="C378" s="94" t="str">
        <f>IF(CadEqu!F374="","",CadEqu!F374)</f>
        <v/>
      </c>
      <c r="D378" s="97" t="str">
        <f>IF(C378="","",IFERROR(IF(SUMIFS(tbLancamentos[Tempo indisponível],tbLancamentos[Equipamento],$C378,tbLancamentos[Momento da falha],"&gt;="&amp;$C$7,tbLancamentos[Momento da falha],"&lt;="&amp;$D$7)&gt;$E$7,$E$7,SUMIFS(tbLancamentos[Tempo indisponível],tbLancamentos[Equipamento],$C378,tbLancamentos[Momento da falha],"&gt;="&amp;$C$7,tbLancamentos[Momento da falha],"&lt;="&amp;$D$7)),""))</f>
        <v/>
      </c>
      <c r="E378" s="97" t="str">
        <f>IF(C378="","",IFERROR(SUMIFS(tbLancamentos[Meta tempo reparo],tbLancamentos[Equipamento],$C378,tbLancamentos[Momento da falha],"&gt;="&amp;$C$7,tbLancamentos[Momento da falha],"&lt;="&amp;$D$7),""))</f>
        <v/>
      </c>
      <c r="F378" s="97" t="str">
        <f>IF(C378="","",IFERROR(SUMIFS(tbLancamentos[Tempo devido],tbLancamentos[Equipamento],$C378,tbLancamentos[Momento da falha],"&gt;="&amp;$C$7,tbLancamentos[Momento da falha],"&lt;="&amp;$D$7),""))</f>
        <v/>
      </c>
      <c r="G37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8" s="127" t="str">
        <f t="shared" si="7"/>
        <v/>
      </c>
    </row>
    <row r="379" spans="2:9" ht="20.100000000000001" customHeight="1" x14ac:dyDescent="0.25">
      <c r="B379" s="94">
        <f>CadEqu!B375</f>
        <v>369</v>
      </c>
      <c r="C379" s="94" t="str">
        <f>IF(CadEqu!F375="","",CadEqu!F375)</f>
        <v/>
      </c>
      <c r="D379" s="97" t="str">
        <f>IF(C379="","",IFERROR(IF(SUMIFS(tbLancamentos[Tempo indisponível],tbLancamentos[Equipamento],$C379,tbLancamentos[Momento da falha],"&gt;="&amp;$C$7,tbLancamentos[Momento da falha],"&lt;="&amp;$D$7)&gt;$E$7,$E$7,SUMIFS(tbLancamentos[Tempo indisponível],tbLancamentos[Equipamento],$C379,tbLancamentos[Momento da falha],"&gt;="&amp;$C$7,tbLancamentos[Momento da falha],"&lt;="&amp;$D$7)),""))</f>
        <v/>
      </c>
      <c r="E379" s="97" t="str">
        <f>IF(C379="","",IFERROR(SUMIFS(tbLancamentos[Meta tempo reparo],tbLancamentos[Equipamento],$C379,tbLancamentos[Momento da falha],"&gt;="&amp;$C$7,tbLancamentos[Momento da falha],"&lt;="&amp;$D$7),""))</f>
        <v/>
      </c>
      <c r="F379" s="97" t="str">
        <f>IF(C379="","",IFERROR(SUMIFS(tbLancamentos[Tempo devido],tbLancamentos[Equipamento],$C379,tbLancamentos[Momento da falha],"&gt;="&amp;$C$7,tbLancamentos[Momento da falha],"&lt;="&amp;$D$7),""))</f>
        <v/>
      </c>
      <c r="G37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7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79" s="127" t="str">
        <f t="shared" si="7"/>
        <v/>
      </c>
    </row>
    <row r="380" spans="2:9" ht="20.100000000000001" customHeight="1" x14ac:dyDescent="0.25">
      <c r="B380" s="94">
        <f>CadEqu!B376</f>
        <v>370</v>
      </c>
      <c r="C380" s="94" t="str">
        <f>IF(CadEqu!F376="","",CadEqu!F376)</f>
        <v/>
      </c>
      <c r="D380" s="97" t="str">
        <f>IF(C380="","",IFERROR(IF(SUMIFS(tbLancamentos[Tempo indisponível],tbLancamentos[Equipamento],$C380,tbLancamentos[Momento da falha],"&gt;="&amp;$C$7,tbLancamentos[Momento da falha],"&lt;="&amp;$D$7)&gt;$E$7,$E$7,SUMIFS(tbLancamentos[Tempo indisponível],tbLancamentos[Equipamento],$C380,tbLancamentos[Momento da falha],"&gt;="&amp;$C$7,tbLancamentos[Momento da falha],"&lt;="&amp;$D$7)),""))</f>
        <v/>
      </c>
      <c r="E380" s="97" t="str">
        <f>IF(C380="","",IFERROR(SUMIFS(tbLancamentos[Meta tempo reparo],tbLancamentos[Equipamento],$C380,tbLancamentos[Momento da falha],"&gt;="&amp;$C$7,tbLancamentos[Momento da falha],"&lt;="&amp;$D$7),""))</f>
        <v/>
      </c>
      <c r="F380" s="97" t="str">
        <f>IF(C380="","",IFERROR(SUMIFS(tbLancamentos[Tempo devido],tbLancamentos[Equipamento],$C380,tbLancamentos[Momento da falha],"&gt;="&amp;$C$7,tbLancamentos[Momento da falha],"&lt;="&amp;$D$7),""))</f>
        <v/>
      </c>
      <c r="G38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0" s="127" t="str">
        <f t="shared" si="7"/>
        <v/>
      </c>
    </row>
    <row r="381" spans="2:9" ht="20.100000000000001" customHeight="1" x14ac:dyDescent="0.25">
      <c r="B381" s="94">
        <f>CadEqu!B377</f>
        <v>371</v>
      </c>
      <c r="C381" s="94" t="str">
        <f>IF(CadEqu!F377="","",CadEqu!F377)</f>
        <v/>
      </c>
      <c r="D381" s="97" t="str">
        <f>IF(C381="","",IFERROR(IF(SUMIFS(tbLancamentos[Tempo indisponível],tbLancamentos[Equipamento],$C381,tbLancamentos[Momento da falha],"&gt;="&amp;$C$7,tbLancamentos[Momento da falha],"&lt;="&amp;$D$7)&gt;$E$7,$E$7,SUMIFS(tbLancamentos[Tempo indisponível],tbLancamentos[Equipamento],$C381,tbLancamentos[Momento da falha],"&gt;="&amp;$C$7,tbLancamentos[Momento da falha],"&lt;="&amp;$D$7)),""))</f>
        <v/>
      </c>
      <c r="E381" s="97" t="str">
        <f>IF(C381="","",IFERROR(SUMIFS(tbLancamentos[Meta tempo reparo],tbLancamentos[Equipamento],$C381,tbLancamentos[Momento da falha],"&gt;="&amp;$C$7,tbLancamentos[Momento da falha],"&lt;="&amp;$D$7),""))</f>
        <v/>
      </c>
      <c r="F381" s="97" t="str">
        <f>IF(C381="","",IFERROR(SUMIFS(tbLancamentos[Tempo devido],tbLancamentos[Equipamento],$C381,tbLancamentos[Momento da falha],"&gt;="&amp;$C$7,tbLancamentos[Momento da falha],"&lt;="&amp;$D$7),""))</f>
        <v/>
      </c>
      <c r="G38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1" s="127" t="str">
        <f t="shared" si="7"/>
        <v/>
      </c>
    </row>
    <row r="382" spans="2:9" ht="20.100000000000001" customHeight="1" x14ac:dyDescent="0.25">
      <c r="B382" s="94">
        <f>CadEqu!B378</f>
        <v>372</v>
      </c>
      <c r="C382" s="94" t="str">
        <f>IF(CadEqu!F378="","",CadEqu!F378)</f>
        <v/>
      </c>
      <c r="D382" s="97" t="str">
        <f>IF(C382="","",IFERROR(IF(SUMIFS(tbLancamentos[Tempo indisponível],tbLancamentos[Equipamento],$C382,tbLancamentos[Momento da falha],"&gt;="&amp;$C$7,tbLancamentos[Momento da falha],"&lt;="&amp;$D$7)&gt;$E$7,$E$7,SUMIFS(tbLancamentos[Tempo indisponível],tbLancamentos[Equipamento],$C382,tbLancamentos[Momento da falha],"&gt;="&amp;$C$7,tbLancamentos[Momento da falha],"&lt;="&amp;$D$7)),""))</f>
        <v/>
      </c>
      <c r="E382" s="97" t="str">
        <f>IF(C382="","",IFERROR(SUMIFS(tbLancamentos[Meta tempo reparo],tbLancamentos[Equipamento],$C382,tbLancamentos[Momento da falha],"&gt;="&amp;$C$7,tbLancamentos[Momento da falha],"&lt;="&amp;$D$7),""))</f>
        <v/>
      </c>
      <c r="F382" s="97" t="str">
        <f>IF(C382="","",IFERROR(SUMIFS(tbLancamentos[Tempo devido],tbLancamentos[Equipamento],$C382,tbLancamentos[Momento da falha],"&gt;="&amp;$C$7,tbLancamentos[Momento da falha],"&lt;="&amp;$D$7),""))</f>
        <v/>
      </c>
      <c r="G38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2" s="127" t="str">
        <f t="shared" si="7"/>
        <v/>
      </c>
    </row>
    <row r="383" spans="2:9" ht="20.100000000000001" customHeight="1" x14ac:dyDescent="0.25">
      <c r="B383" s="94">
        <f>CadEqu!B379</f>
        <v>373</v>
      </c>
      <c r="C383" s="94" t="str">
        <f>IF(CadEqu!F379="","",CadEqu!F379)</f>
        <v/>
      </c>
      <c r="D383" s="97" t="str">
        <f>IF(C383="","",IFERROR(IF(SUMIFS(tbLancamentos[Tempo indisponível],tbLancamentos[Equipamento],$C383,tbLancamentos[Momento da falha],"&gt;="&amp;$C$7,tbLancamentos[Momento da falha],"&lt;="&amp;$D$7)&gt;$E$7,$E$7,SUMIFS(tbLancamentos[Tempo indisponível],tbLancamentos[Equipamento],$C383,tbLancamentos[Momento da falha],"&gt;="&amp;$C$7,tbLancamentos[Momento da falha],"&lt;="&amp;$D$7)),""))</f>
        <v/>
      </c>
      <c r="E383" s="97" t="str">
        <f>IF(C383="","",IFERROR(SUMIFS(tbLancamentos[Meta tempo reparo],tbLancamentos[Equipamento],$C383,tbLancamentos[Momento da falha],"&gt;="&amp;$C$7,tbLancamentos[Momento da falha],"&lt;="&amp;$D$7),""))</f>
        <v/>
      </c>
      <c r="F383" s="97" t="str">
        <f>IF(C383="","",IFERROR(SUMIFS(tbLancamentos[Tempo devido],tbLancamentos[Equipamento],$C383,tbLancamentos[Momento da falha],"&gt;="&amp;$C$7,tbLancamentos[Momento da falha],"&lt;="&amp;$D$7),""))</f>
        <v/>
      </c>
      <c r="G38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3" s="127" t="str">
        <f t="shared" si="7"/>
        <v/>
      </c>
    </row>
    <row r="384" spans="2:9" ht="20.100000000000001" customHeight="1" x14ac:dyDescent="0.25">
      <c r="B384" s="94">
        <f>CadEqu!B380</f>
        <v>374</v>
      </c>
      <c r="C384" s="94" t="str">
        <f>IF(CadEqu!F380="","",CadEqu!F380)</f>
        <v/>
      </c>
      <c r="D384" s="97" t="str">
        <f>IF(C384="","",IFERROR(IF(SUMIFS(tbLancamentos[Tempo indisponível],tbLancamentos[Equipamento],$C384,tbLancamentos[Momento da falha],"&gt;="&amp;$C$7,tbLancamentos[Momento da falha],"&lt;="&amp;$D$7)&gt;$E$7,$E$7,SUMIFS(tbLancamentos[Tempo indisponível],tbLancamentos[Equipamento],$C384,tbLancamentos[Momento da falha],"&gt;="&amp;$C$7,tbLancamentos[Momento da falha],"&lt;="&amp;$D$7)),""))</f>
        <v/>
      </c>
      <c r="E384" s="97" t="str">
        <f>IF(C384="","",IFERROR(SUMIFS(tbLancamentos[Meta tempo reparo],tbLancamentos[Equipamento],$C384,tbLancamentos[Momento da falha],"&gt;="&amp;$C$7,tbLancamentos[Momento da falha],"&lt;="&amp;$D$7),""))</f>
        <v/>
      </c>
      <c r="F384" s="97" t="str">
        <f>IF(C384="","",IFERROR(SUMIFS(tbLancamentos[Tempo devido],tbLancamentos[Equipamento],$C384,tbLancamentos[Momento da falha],"&gt;="&amp;$C$7,tbLancamentos[Momento da falha],"&lt;="&amp;$D$7),""))</f>
        <v/>
      </c>
      <c r="G38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4" s="127" t="str">
        <f t="shared" si="7"/>
        <v/>
      </c>
    </row>
    <row r="385" spans="2:9" ht="20.100000000000001" customHeight="1" x14ac:dyDescent="0.25">
      <c r="B385" s="94">
        <f>CadEqu!B381</f>
        <v>375</v>
      </c>
      <c r="C385" s="94" t="str">
        <f>IF(CadEqu!F381="","",CadEqu!F381)</f>
        <v/>
      </c>
      <c r="D385" s="97" t="str">
        <f>IF(C385="","",IFERROR(IF(SUMIFS(tbLancamentos[Tempo indisponível],tbLancamentos[Equipamento],$C385,tbLancamentos[Momento da falha],"&gt;="&amp;$C$7,tbLancamentos[Momento da falha],"&lt;="&amp;$D$7)&gt;$E$7,$E$7,SUMIFS(tbLancamentos[Tempo indisponível],tbLancamentos[Equipamento],$C385,tbLancamentos[Momento da falha],"&gt;="&amp;$C$7,tbLancamentos[Momento da falha],"&lt;="&amp;$D$7)),""))</f>
        <v/>
      </c>
      <c r="E385" s="97" t="str">
        <f>IF(C385="","",IFERROR(SUMIFS(tbLancamentos[Meta tempo reparo],tbLancamentos[Equipamento],$C385,tbLancamentos[Momento da falha],"&gt;="&amp;$C$7,tbLancamentos[Momento da falha],"&lt;="&amp;$D$7),""))</f>
        <v/>
      </c>
      <c r="F385" s="97" t="str">
        <f>IF(C385="","",IFERROR(SUMIFS(tbLancamentos[Tempo devido],tbLancamentos[Equipamento],$C385,tbLancamentos[Momento da falha],"&gt;="&amp;$C$7,tbLancamentos[Momento da falha],"&lt;="&amp;$D$7),""))</f>
        <v/>
      </c>
      <c r="G38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5" s="127" t="str">
        <f t="shared" si="7"/>
        <v/>
      </c>
    </row>
    <row r="386" spans="2:9" ht="20.100000000000001" customHeight="1" x14ac:dyDescent="0.25">
      <c r="B386" s="94">
        <f>CadEqu!B382</f>
        <v>376</v>
      </c>
      <c r="C386" s="94" t="str">
        <f>IF(CadEqu!F382="","",CadEqu!F382)</f>
        <v/>
      </c>
      <c r="D386" s="97" t="str">
        <f>IF(C386="","",IFERROR(IF(SUMIFS(tbLancamentos[Tempo indisponível],tbLancamentos[Equipamento],$C386,tbLancamentos[Momento da falha],"&gt;="&amp;$C$7,tbLancamentos[Momento da falha],"&lt;="&amp;$D$7)&gt;$E$7,$E$7,SUMIFS(tbLancamentos[Tempo indisponível],tbLancamentos[Equipamento],$C386,tbLancamentos[Momento da falha],"&gt;="&amp;$C$7,tbLancamentos[Momento da falha],"&lt;="&amp;$D$7)),""))</f>
        <v/>
      </c>
      <c r="E386" s="97" t="str">
        <f>IF(C386="","",IFERROR(SUMIFS(tbLancamentos[Meta tempo reparo],tbLancamentos[Equipamento],$C386,tbLancamentos[Momento da falha],"&gt;="&amp;$C$7,tbLancamentos[Momento da falha],"&lt;="&amp;$D$7),""))</f>
        <v/>
      </c>
      <c r="F386" s="97" t="str">
        <f>IF(C386="","",IFERROR(SUMIFS(tbLancamentos[Tempo devido],tbLancamentos[Equipamento],$C386,tbLancamentos[Momento da falha],"&gt;="&amp;$C$7,tbLancamentos[Momento da falha],"&lt;="&amp;$D$7),""))</f>
        <v/>
      </c>
      <c r="G38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6" s="127" t="str">
        <f t="shared" si="7"/>
        <v/>
      </c>
    </row>
    <row r="387" spans="2:9" ht="20.100000000000001" customHeight="1" x14ac:dyDescent="0.25">
      <c r="B387" s="94">
        <f>CadEqu!B383</f>
        <v>377</v>
      </c>
      <c r="C387" s="94" t="str">
        <f>IF(CadEqu!F383="","",CadEqu!F383)</f>
        <v/>
      </c>
      <c r="D387" s="97" t="str">
        <f>IF(C387="","",IFERROR(IF(SUMIFS(tbLancamentos[Tempo indisponível],tbLancamentos[Equipamento],$C387,tbLancamentos[Momento da falha],"&gt;="&amp;$C$7,tbLancamentos[Momento da falha],"&lt;="&amp;$D$7)&gt;$E$7,$E$7,SUMIFS(tbLancamentos[Tempo indisponível],tbLancamentos[Equipamento],$C387,tbLancamentos[Momento da falha],"&gt;="&amp;$C$7,tbLancamentos[Momento da falha],"&lt;="&amp;$D$7)),""))</f>
        <v/>
      </c>
      <c r="E387" s="97" t="str">
        <f>IF(C387="","",IFERROR(SUMIFS(tbLancamentos[Meta tempo reparo],tbLancamentos[Equipamento],$C387,tbLancamentos[Momento da falha],"&gt;="&amp;$C$7,tbLancamentos[Momento da falha],"&lt;="&amp;$D$7),""))</f>
        <v/>
      </c>
      <c r="F387" s="97" t="str">
        <f>IF(C387="","",IFERROR(SUMIFS(tbLancamentos[Tempo devido],tbLancamentos[Equipamento],$C387,tbLancamentos[Momento da falha],"&gt;="&amp;$C$7,tbLancamentos[Momento da falha],"&lt;="&amp;$D$7),""))</f>
        <v/>
      </c>
      <c r="G38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7" s="127" t="str">
        <f t="shared" si="7"/>
        <v/>
      </c>
    </row>
    <row r="388" spans="2:9" ht="20.100000000000001" customHeight="1" x14ac:dyDescent="0.25">
      <c r="B388" s="94">
        <f>CadEqu!B384</f>
        <v>378</v>
      </c>
      <c r="C388" s="94" t="str">
        <f>IF(CadEqu!F384="","",CadEqu!F384)</f>
        <v/>
      </c>
      <c r="D388" s="97" t="str">
        <f>IF(C388="","",IFERROR(IF(SUMIFS(tbLancamentos[Tempo indisponível],tbLancamentos[Equipamento],$C388,tbLancamentos[Momento da falha],"&gt;="&amp;$C$7,tbLancamentos[Momento da falha],"&lt;="&amp;$D$7)&gt;$E$7,$E$7,SUMIFS(tbLancamentos[Tempo indisponível],tbLancamentos[Equipamento],$C388,tbLancamentos[Momento da falha],"&gt;="&amp;$C$7,tbLancamentos[Momento da falha],"&lt;="&amp;$D$7)),""))</f>
        <v/>
      </c>
      <c r="E388" s="97" t="str">
        <f>IF(C388="","",IFERROR(SUMIFS(tbLancamentos[Meta tempo reparo],tbLancamentos[Equipamento],$C388,tbLancamentos[Momento da falha],"&gt;="&amp;$C$7,tbLancamentos[Momento da falha],"&lt;="&amp;$D$7),""))</f>
        <v/>
      </c>
      <c r="F388" s="97" t="str">
        <f>IF(C388="","",IFERROR(SUMIFS(tbLancamentos[Tempo devido],tbLancamentos[Equipamento],$C388,tbLancamentos[Momento da falha],"&gt;="&amp;$C$7,tbLancamentos[Momento da falha],"&lt;="&amp;$D$7),""))</f>
        <v/>
      </c>
      <c r="G38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8" s="127" t="str">
        <f t="shared" si="7"/>
        <v/>
      </c>
    </row>
    <row r="389" spans="2:9" ht="20.100000000000001" customHeight="1" x14ac:dyDescent="0.25">
      <c r="B389" s="94">
        <f>CadEqu!B385</f>
        <v>379</v>
      </c>
      <c r="C389" s="94" t="str">
        <f>IF(CadEqu!F385="","",CadEqu!F385)</f>
        <v/>
      </c>
      <c r="D389" s="97" t="str">
        <f>IF(C389="","",IFERROR(IF(SUMIFS(tbLancamentos[Tempo indisponível],tbLancamentos[Equipamento],$C389,tbLancamentos[Momento da falha],"&gt;="&amp;$C$7,tbLancamentos[Momento da falha],"&lt;="&amp;$D$7)&gt;$E$7,$E$7,SUMIFS(tbLancamentos[Tempo indisponível],tbLancamentos[Equipamento],$C389,tbLancamentos[Momento da falha],"&gt;="&amp;$C$7,tbLancamentos[Momento da falha],"&lt;="&amp;$D$7)),""))</f>
        <v/>
      </c>
      <c r="E389" s="97" t="str">
        <f>IF(C389="","",IFERROR(SUMIFS(tbLancamentos[Meta tempo reparo],tbLancamentos[Equipamento],$C389,tbLancamentos[Momento da falha],"&gt;="&amp;$C$7,tbLancamentos[Momento da falha],"&lt;="&amp;$D$7),""))</f>
        <v/>
      </c>
      <c r="F389" s="97" t="str">
        <f>IF(C389="","",IFERROR(SUMIFS(tbLancamentos[Tempo devido],tbLancamentos[Equipamento],$C389,tbLancamentos[Momento da falha],"&gt;="&amp;$C$7,tbLancamentos[Momento da falha],"&lt;="&amp;$D$7),""))</f>
        <v/>
      </c>
      <c r="G38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8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89" s="127" t="str">
        <f t="shared" si="7"/>
        <v/>
      </c>
    </row>
    <row r="390" spans="2:9" ht="20.100000000000001" customHeight="1" x14ac:dyDescent="0.25">
      <c r="B390" s="94">
        <f>CadEqu!B386</f>
        <v>380</v>
      </c>
      <c r="C390" s="94" t="str">
        <f>IF(CadEqu!F386="","",CadEqu!F386)</f>
        <v/>
      </c>
      <c r="D390" s="97" t="str">
        <f>IF(C390="","",IFERROR(IF(SUMIFS(tbLancamentos[Tempo indisponível],tbLancamentos[Equipamento],$C390,tbLancamentos[Momento da falha],"&gt;="&amp;$C$7,tbLancamentos[Momento da falha],"&lt;="&amp;$D$7)&gt;$E$7,$E$7,SUMIFS(tbLancamentos[Tempo indisponível],tbLancamentos[Equipamento],$C390,tbLancamentos[Momento da falha],"&gt;="&amp;$C$7,tbLancamentos[Momento da falha],"&lt;="&amp;$D$7)),""))</f>
        <v/>
      </c>
      <c r="E390" s="97" t="str">
        <f>IF(C390="","",IFERROR(SUMIFS(tbLancamentos[Meta tempo reparo],tbLancamentos[Equipamento],$C390,tbLancamentos[Momento da falha],"&gt;="&amp;$C$7,tbLancamentos[Momento da falha],"&lt;="&amp;$D$7),""))</f>
        <v/>
      </c>
      <c r="F390" s="97" t="str">
        <f>IF(C390="","",IFERROR(SUMIFS(tbLancamentos[Tempo devido],tbLancamentos[Equipamento],$C390,tbLancamentos[Momento da falha],"&gt;="&amp;$C$7,tbLancamentos[Momento da falha],"&lt;="&amp;$D$7),""))</f>
        <v/>
      </c>
      <c r="G39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0" s="127" t="str">
        <f t="shared" si="7"/>
        <v/>
      </c>
    </row>
    <row r="391" spans="2:9" ht="20.100000000000001" customHeight="1" x14ac:dyDescent="0.25">
      <c r="B391" s="94">
        <f>CadEqu!B387</f>
        <v>381</v>
      </c>
      <c r="C391" s="94" t="str">
        <f>IF(CadEqu!F387="","",CadEqu!F387)</f>
        <v/>
      </c>
      <c r="D391" s="97" t="str">
        <f>IF(C391="","",IFERROR(IF(SUMIFS(tbLancamentos[Tempo indisponível],tbLancamentos[Equipamento],$C391,tbLancamentos[Momento da falha],"&gt;="&amp;$C$7,tbLancamentos[Momento da falha],"&lt;="&amp;$D$7)&gt;$E$7,$E$7,SUMIFS(tbLancamentos[Tempo indisponível],tbLancamentos[Equipamento],$C391,tbLancamentos[Momento da falha],"&gt;="&amp;$C$7,tbLancamentos[Momento da falha],"&lt;="&amp;$D$7)),""))</f>
        <v/>
      </c>
      <c r="E391" s="97" t="str">
        <f>IF(C391="","",IFERROR(SUMIFS(tbLancamentos[Meta tempo reparo],tbLancamentos[Equipamento],$C391,tbLancamentos[Momento da falha],"&gt;="&amp;$C$7,tbLancamentos[Momento da falha],"&lt;="&amp;$D$7),""))</f>
        <v/>
      </c>
      <c r="F391" s="97" t="str">
        <f>IF(C391="","",IFERROR(SUMIFS(tbLancamentos[Tempo devido],tbLancamentos[Equipamento],$C391,tbLancamentos[Momento da falha],"&gt;="&amp;$C$7,tbLancamentos[Momento da falha],"&lt;="&amp;$D$7),""))</f>
        <v/>
      </c>
      <c r="G39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1" s="127" t="str">
        <f t="shared" si="7"/>
        <v/>
      </c>
    </row>
    <row r="392" spans="2:9" ht="20.100000000000001" customHeight="1" x14ac:dyDescent="0.25">
      <c r="B392" s="94">
        <f>CadEqu!B388</f>
        <v>382</v>
      </c>
      <c r="C392" s="94" t="str">
        <f>IF(CadEqu!F388="","",CadEqu!F388)</f>
        <v/>
      </c>
      <c r="D392" s="97" t="str">
        <f>IF(C392="","",IFERROR(IF(SUMIFS(tbLancamentos[Tempo indisponível],tbLancamentos[Equipamento],$C392,tbLancamentos[Momento da falha],"&gt;="&amp;$C$7,tbLancamentos[Momento da falha],"&lt;="&amp;$D$7)&gt;$E$7,$E$7,SUMIFS(tbLancamentos[Tempo indisponível],tbLancamentos[Equipamento],$C392,tbLancamentos[Momento da falha],"&gt;="&amp;$C$7,tbLancamentos[Momento da falha],"&lt;="&amp;$D$7)),""))</f>
        <v/>
      </c>
      <c r="E392" s="97" t="str">
        <f>IF(C392="","",IFERROR(SUMIFS(tbLancamentos[Meta tempo reparo],tbLancamentos[Equipamento],$C392,tbLancamentos[Momento da falha],"&gt;="&amp;$C$7,tbLancamentos[Momento da falha],"&lt;="&amp;$D$7),""))</f>
        <v/>
      </c>
      <c r="F392" s="97" t="str">
        <f>IF(C392="","",IFERROR(SUMIFS(tbLancamentos[Tempo devido],tbLancamentos[Equipamento],$C392,tbLancamentos[Momento da falha],"&gt;="&amp;$C$7,tbLancamentos[Momento da falha],"&lt;="&amp;$D$7),""))</f>
        <v/>
      </c>
      <c r="G39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2" s="127" t="str">
        <f t="shared" si="7"/>
        <v/>
      </c>
    </row>
    <row r="393" spans="2:9" ht="20.100000000000001" customHeight="1" x14ac:dyDescent="0.25">
      <c r="B393" s="94">
        <f>CadEqu!B389</f>
        <v>383</v>
      </c>
      <c r="C393" s="94" t="str">
        <f>IF(CadEqu!F389="","",CadEqu!F389)</f>
        <v/>
      </c>
      <c r="D393" s="97" t="str">
        <f>IF(C393="","",IFERROR(IF(SUMIFS(tbLancamentos[Tempo indisponível],tbLancamentos[Equipamento],$C393,tbLancamentos[Momento da falha],"&gt;="&amp;$C$7,tbLancamentos[Momento da falha],"&lt;="&amp;$D$7)&gt;$E$7,$E$7,SUMIFS(tbLancamentos[Tempo indisponível],tbLancamentos[Equipamento],$C393,tbLancamentos[Momento da falha],"&gt;="&amp;$C$7,tbLancamentos[Momento da falha],"&lt;="&amp;$D$7)),""))</f>
        <v/>
      </c>
      <c r="E393" s="97" t="str">
        <f>IF(C393="","",IFERROR(SUMIFS(tbLancamentos[Meta tempo reparo],tbLancamentos[Equipamento],$C393,tbLancamentos[Momento da falha],"&gt;="&amp;$C$7,tbLancamentos[Momento da falha],"&lt;="&amp;$D$7),""))</f>
        <v/>
      </c>
      <c r="F393" s="97" t="str">
        <f>IF(C393="","",IFERROR(SUMIFS(tbLancamentos[Tempo devido],tbLancamentos[Equipamento],$C393,tbLancamentos[Momento da falha],"&gt;="&amp;$C$7,tbLancamentos[Momento da falha],"&lt;="&amp;$D$7),""))</f>
        <v/>
      </c>
      <c r="G39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3" s="127" t="str">
        <f t="shared" si="7"/>
        <v/>
      </c>
    </row>
    <row r="394" spans="2:9" ht="20.100000000000001" customHeight="1" x14ac:dyDescent="0.25">
      <c r="B394" s="94">
        <f>CadEqu!B390</f>
        <v>384</v>
      </c>
      <c r="C394" s="94" t="str">
        <f>IF(CadEqu!F390="","",CadEqu!F390)</f>
        <v/>
      </c>
      <c r="D394" s="97" t="str">
        <f>IF(C394="","",IFERROR(IF(SUMIFS(tbLancamentos[Tempo indisponível],tbLancamentos[Equipamento],$C394,tbLancamentos[Momento da falha],"&gt;="&amp;$C$7,tbLancamentos[Momento da falha],"&lt;="&amp;$D$7)&gt;$E$7,$E$7,SUMIFS(tbLancamentos[Tempo indisponível],tbLancamentos[Equipamento],$C394,tbLancamentos[Momento da falha],"&gt;="&amp;$C$7,tbLancamentos[Momento da falha],"&lt;="&amp;$D$7)),""))</f>
        <v/>
      </c>
      <c r="E394" s="97" t="str">
        <f>IF(C394="","",IFERROR(SUMIFS(tbLancamentos[Meta tempo reparo],tbLancamentos[Equipamento],$C394,tbLancamentos[Momento da falha],"&gt;="&amp;$C$7,tbLancamentos[Momento da falha],"&lt;="&amp;$D$7),""))</f>
        <v/>
      </c>
      <c r="F394" s="97" t="str">
        <f>IF(C394="","",IFERROR(SUMIFS(tbLancamentos[Tempo devido],tbLancamentos[Equipamento],$C394,tbLancamentos[Momento da falha],"&gt;="&amp;$C$7,tbLancamentos[Momento da falha],"&lt;="&amp;$D$7),""))</f>
        <v/>
      </c>
      <c r="G39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4" s="127" t="str">
        <f t="shared" si="7"/>
        <v/>
      </c>
    </row>
    <row r="395" spans="2:9" ht="20.100000000000001" customHeight="1" x14ac:dyDescent="0.25">
      <c r="B395" s="94">
        <f>CadEqu!B391</f>
        <v>385</v>
      </c>
      <c r="C395" s="94" t="str">
        <f>IF(CadEqu!F391="","",CadEqu!F391)</f>
        <v/>
      </c>
      <c r="D395" s="97" t="str">
        <f>IF(C395="","",IFERROR(IF(SUMIFS(tbLancamentos[Tempo indisponível],tbLancamentos[Equipamento],$C395,tbLancamentos[Momento da falha],"&gt;="&amp;$C$7,tbLancamentos[Momento da falha],"&lt;="&amp;$D$7)&gt;$E$7,$E$7,SUMIFS(tbLancamentos[Tempo indisponível],tbLancamentos[Equipamento],$C395,tbLancamentos[Momento da falha],"&gt;="&amp;$C$7,tbLancamentos[Momento da falha],"&lt;="&amp;$D$7)),""))</f>
        <v/>
      </c>
      <c r="E395" s="97" t="str">
        <f>IF(C395="","",IFERROR(SUMIFS(tbLancamentos[Meta tempo reparo],tbLancamentos[Equipamento],$C395,tbLancamentos[Momento da falha],"&gt;="&amp;$C$7,tbLancamentos[Momento da falha],"&lt;="&amp;$D$7),""))</f>
        <v/>
      </c>
      <c r="F395" s="97" t="str">
        <f>IF(C395="","",IFERROR(SUMIFS(tbLancamentos[Tempo devido],tbLancamentos[Equipamento],$C395,tbLancamentos[Momento da falha],"&gt;="&amp;$C$7,tbLancamentos[Momento da falha],"&lt;="&amp;$D$7),""))</f>
        <v/>
      </c>
      <c r="G39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5" s="127" t="str">
        <f t="shared" ref="I395:I458" si="8">IF(C395="","",($E$7-(D395-E395))/$E$7)</f>
        <v/>
      </c>
    </row>
    <row r="396" spans="2:9" ht="20.100000000000001" customHeight="1" x14ac:dyDescent="0.25">
      <c r="B396" s="94">
        <f>CadEqu!B392</f>
        <v>386</v>
      </c>
      <c r="C396" s="94" t="str">
        <f>IF(CadEqu!F392="","",CadEqu!F392)</f>
        <v/>
      </c>
      <c r="D396" s="97" t="str">
        <f>IF(C396="","",IFERROR(IF(SUMIFS(tbLancamentos[Tempo indisponível],tbLancamentos[Equipamento],$C396,tbLancamentos[Momento da falha],"&gt;="&amp;$C$7,tbLancamentos[Momento da falha],"&lt;="&amp;$D$7)&gt;$E$7,$E$7,SUMIFS(tbLancamentos[Tempo indisponível],tbLancamentos[Equipamento],$C396,tbLancamentos[Momento da falha],"&gt;="&amp;$C$7,tbLancamentos[Momento da falha],"&lt;="&amp;$D$7)),""))</f>
        <v/>
      </c>
      <c r="E396" s="97" t="str">
        <f>IF(C396="","",IFERROR(SUMIFS(tbLancamentos[Meta tempo reparo],tbLancamentos[Equipamento],$C396,tbLancamentos[Momento da falha],"&gt;="&amp;$C$7,tbLancamentos[Momento da falha],"&lt;="&amp;$D$7),""))</f>
        <v/>
      </c>
      <c r="F396" s="97" t="str">
        <f>IF(C396="","",IFERROR(SUMIFS(tbLancamentos[Tempo devido],tbLancamentos[Equipamento],$C396,tbLancamentos[Momento da falha],"&gt;="&amp;$C$7,tbLancamentos[Momento da falha],"&lt;="&amp;$D$7),""))</f>
        <v/>
      </c>
      <c r="G39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6" s="127" t="str">
        <f t="shared" si="8"/>
        <v/>
      </c>
    </row>
    <row r="397" spans="2:9" ht="20.100000000000001" customHeight="1" x14ac:dyDescent="0.25">
      <c r="B397" s="94">
        <f>CadEqu!B393</f>
        <v>387</v>
      </c>
      <c r="C397" s="94" t="str">
        <f>IF(CadEqu!F393="","",CadEqu!F393)</f>
        <v/>
      </c>
      <c r="D397" s="97" t="str">
        <f>IF(C397="","",IFERROR(IF(SUMIFS(tbLancamentos[Tempo indisponível],tbLancamentos[Equipamento],$C397,tbLancamentos[Momento da falha],"&gt;="&amp;$C$7,tbLancamentos[Momento da falha],"&lt;="&amp;$D$7)&gt;$E$7,$E$7,SUMIFS(tbLancamentos[Tempo indisponível],tbLancamentos[Equipamento],$C397,tbLancamentos[Momento da falha],"&gt;="&amp;$C$7,tbLancamentos[Momento da falha],"&lt;="&amp;$D$7)),""))</f>
        <v/>
      </c>
      <c r="E397" s="97" t="str">
        <f>IF(C397="","",IFERROR(SUMIFS(tbLancamentos[Meta tempo reparo],tbLancamentos[Equipamento],$C397,tbLancamentos[Momento da falha],"&gt;="&amp;$C$7,tbLancamentos[Momento da falha],"&lt;="&amp;$D$7),""))</f>
        <v/>
      </c>
      <c r="F397" s="97" t="str">
        <f>IF(C397="","",IFERROR(SUMIFS(tbLancamentos[Tempo devido],tbLancamentos[Equipamento],$C397,tbLancamentos[Momento da falha],"&gt;="&amp;$C$7,tbLancamentos[Momento da falha],"&lt;="&amp;$D$7),""))</f>
        <v/>
      </c>
      <c r="G39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7" s="127" t="str">
        <f t="shared" si="8"/>
        <v/>
      </c>
    </row>
    <row r="398" spans="2:9" ht="20.100000000000001" customHeight="1" x14ac:dyDescent="0.25">
      <c r="B398" s="94">
        <f>CadEqu!B394</f>
        <v>388</v>
      </c>
      <c r="C398" s="94" t="str">
        <f>IF(CadEqu!F394="","",CadEqu!F394)</f>
        <v/>
      </c>
      <c r="D398" s="97" t="str">
        <f>IF(C398="","",IFERROR(IF(SUMIFS(tbLancamentos[Tempo indisponível],tbLancamentos[Equipamento],$C398,tbLancamentos[Momento da falha],"&gt;="&amp;$C$7,tbLancamentos[Momento da falha],"&lt;="&amp;$D$7)&gt;$E$7,$E$7,SUMIFS(tbLancamentos[Tempo indisponível],tbLancamentos[Equipamento],$C398,tbLancamentos[Momento da falha],"&gt;="&amp;$C$7,tbLancamentos[Momento da falha],"&lt;="&amp;$D$7)),""))</f>
        <v/>
      </c>
      <c r="E398" s="97" t="str">
        <f>IF(C398="","",IFERROR(SUMIFS(tbLancamentos[Meta tempo reparo],tbLancamentos[Equipamento],$C398,tbLancamentos[Momento da falha],"&gt;="&amp;$C$7,tbLancamentos[Momento da falha],"&lt;="&amp;$D$7),""))</f>
        <v/>
      </c>
      <c r="F398" s="97" t="str">
        <f>IF(C398="","",IFERROR(SUMIFS(tbLancamentos[Tempo devido],tbLancamentos[Equipamento],$C398,tbLancamentos[Momento da falha],"&gt;="&amp;$C$7,tbLancamentos[Momento da falha],"&lt;="&amp;$D$7),""))</f>
        <v/>
      </c>
      <c r="G39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8" s="127" t="str">
        <f t="shared" si="8"/>
        <v/>
      </c>
    </row>
    <row r="399" spans="2:9" ht="20.100000000000001" customHeight="1" x14ac:dyDescent="0.25">
      <c r="B399" s="94">
        <f>CadEqu!B395</f>
        <v>389</v>
      </c>
      <c r="C399" s="94" t="str">
        <f>IF(CadEqu!F395="","",CadEqu!F395)</f>
        <v/>
      </c>
      <c r="D399" s="97" t="str">
        <f>IF(C399="","",IFERROR(IF(SUMIFS(tbLancamentos[Tempo indisponível],tbLancamentos[Equipamento],$C399,tbLancamentos[Momento da falha],"&gt;="&amp;$C$7,tbLancamentos[Momento da falha],"&lt;="&amp;$D$7)&gt;$E$7,$E$7,SUMIFS(tbLancamentos[Tempo indisponível],tbLancamentos[Equipamento],$C399,tbLancamentos[Momento da falha],"&gt;="&amp;$C$7,tbLancamentos[Momento da falha],"&lt;="&amp;$D$7)),""))</f>
        <v/>
      </c>
      <c r="E399" s="97" t="str">
        <f>IF(C399="","",IFERROR(SUMIFS(tbLancamentos[Meta tempo reparo],tbLancamentos[Equipamento],$C399,tbLancamentos[Momento da falha],"&gt;="&amp;$C$7,tbLancamentos[Momento da falha],"&lt;="&amp;$D$7),""))</f>
        <v/>
      </c>
      <c r="F399" s="97" t="str">
        <f>IF(C399="","",IFERROR(SUMIFS(tbLancamentos[Tempo devido],tbLancamentos[Equipamento],$C399,tbLancamentos[Momento da falha],"&gt;="&amp;$C$7,tbLancamentos[Momento da falha],"&lt;="&amp;$D$7),""))</f>
        <v/>
      </c>
      <c r="G39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39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399" s="127" t="str">
        <f t="shared" si="8"/>
        <v/>
      </c>
    </row>
    <row r="400" spans="2:9" ht="20.100000000000001" customHeight="1" x14ac:dyDescent="0.25">
      <c r="B400" s="94">
        <f>CadEqu!B396</f>
        <v>390</v>
      </c>
      <c r="C400" s="94" t="str">
        <f>IF(CadEqu!F396="","",CadEqu!F396)</f>
        <v/>
      </c>
      <c r="D400" s="97" t="str">
        <f>IF(C400="","",IFERROR(IF(SUMIFS(tbLancamentos[Tempo indisponível],tbLancamentos[Equipamento],$C400,tbLancamentos[Momento da falha],"&gt;="&amp;$C$7,tbLancamentos[Momento da falha],"&lt;="&amp;$D$7)&gt;$E$7,$E$7,SUMIFS(tbLancamentos[Tempo indisponível],tbLancamentos[Equipamento],$C400,tbLancamentos[Momento da falha],"&gt;="&amp;$C$7,tbLancamentos[Momento da falha],"&lt;="&amp;$D$7)),""))</f>
        <v/>
      </c>
      <c r="E400" s="97" t="str">
        <f>IF(C400="","",IFERROR(SUMIFS(tbLancamentos[Meta tempo reparo],tbLancamentos[Equipamento],$C400,tbLancamentos[Momento da falha],"&gt;="&amp;$C$7,tbLancamentos[Momento da falha],"&lt;="&amp;$D$7),""))</f>
        <v/>
      </c>
      <c r="F400" s="97" t="str">
        <f>IF(C400="","",IFERROR(SUMIFS(tbLancamentos[Tempo devido],tbLancamentos[Equipamento],$C400,tbLancamentos[Momento da falha],"&gt;="&amp;$C$7,tbLancamentos[Momento da falha],"&lt;="&amp;$D$7),""))</f>
        <v/>
      </c>
      <c r="G40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0" s="127" t="str">
        <f t="shared" si="8"/>
        <v/>
      </c>
    </row>
    <row r="401" spans="2:9" ht="20.100000000000001" customHeight="1" x14ac:dyDescent="0.25">
      <c r="B401" s="94">
        <f>CadEqu!B397</f>
        <v>391</v>
      </c>
      <c r="C401" s="94" t="str">
        <f>IF(CadEqu!F397="","",CadEqu!F397)</f>
        <v/>
      </c>
      <c r="D401" s="97" t="str">
        <f>IF(C401="","",IFERROR(IF(SUMIFS(tbLancamentos[Tempo indisponível],tbLancamentos[Equipamento],$C401,tbLancamentos[Momento da falha],"&gt;="&amp;$C$7,tbLancamentos[Momento da falha],"&lt;="&amp;$D$7)&gt;$E$7,$E$7,SUMIFS(tbLancamentos[Tempo indisponível],tbLancamentos[Equipamento],$C401,tbLancamentos[Momento da falha],"&gt;="&amp;$C$7,tbLancamentos[Momento da falha],"&lt;="&amp;$D$7)),""))</f>
        <v/>
      </c>
      <c r="E401" s="97" t="str">
        <f>IF(C401="","",IFERROR(SUMIFS(tbLancamentos[Meta tempo reparo],tbLancamentos[Equipamento],$C401,tbLancamentos[Momento da falha],"&gt;="&amp;$C$7,tbLancamentos[Momento da falha],"&lt;="&amp;$D$7),""))</f>
        <v/>
      </c>
      <c r="F401" s="97" t="str">
        <f>IF(C401="","",IFERROR(SUMIFS(tbLancamentos[Tempo devido],tbLancamentos[Equipamento],$C401,tbLancamentos[Momento da falha],"&gt;="&amp;$C$7,tbLancamentos[Momento da falha],"&lt;="&amp;$D$7),""))</f>
        <v/>
      </c>
      <c r="G40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1" s="127" t="str">
        <f t="shared" si="8"/>
        <v/>
      </c>
    </row>
    <row r="402" spans="2:9" ht="20.100000000000001" customHeight="1" x14ac:dyDescent="0.25">
      <c r="B402" s="94">
        <f>CadEqu!B398</f>
        <v>392</v>
      </c>
      <c r="C402" s="94" t="str">
        <f>IF(CadEqu!F398="","",CadEqu!F398)</f>
        <v/>
      </c>
      <c r="D402" s="97" t="str">
        <f>IF(C402="","",IFERROR(IF(SUMIFS(tbLancamentos[Tempo indisponível],tbLancamentos[Equipamento],$C402,tbLancamentos[Momento da falha],"&gt;="&amp;$C$7,tbLancamentos[Momento da falha],"&lt;="&amp;$D$7)&gt;$E$7,$E$7,SUMIFS(tbLancamentos[Tempo indisponível],tbLancamentos[Equipamento],$C402,tbLancamentos[Momento da falha],"&gt;="&amp;$C$7,tbLancamentos[Momento da falha],"&lt;="&amp;$D$7)),""))</f>
        <v/>
      </c>
      <c r="E402" s="97" t="str">
        <f>IF(C402="","",IFERROR(SUMIFS(tbLancamentos[Meta tempo reparo],tbLancamentos[Equipamento],$C402,tbLancamentos[Momento da falha],"&gt;="&amp;$C$7,tbLancamentos[Momento da falha],"&lt;="&amp;$D$7),""))</f>
        <v/>
      </c>
      <c r="F402" s="97" t="str">
        <f>IF(C402="","",IFERROR(SUMIFS(tbLancamentos[Tempo devido],tbLancamentos[Equipamento],$C402,tbLancamentos[Momento da falha],"&gt;="&amp;$C$7,tbLancamentos[Momento da falha],"&lt;="&amp;$D$7),""))</f>
        <v/>
      </c>
      <c r="G40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2" s="127" t="str">
        <f t="shared" si="8"/>
        <v/>
      </c>
    </row>
    <row r="403" spans="2:9" ht="20.100000000000001" customHeight="1" x14ac:dyDescent="0.25">
      <c r="B403" s="94">
        <f>CadEqu!B399</f>
        <v>393</v>
      </c>
      <c r="C403" s="94" t="str">
        <f>IF(CadEqu!F399="","",CadEqu!F399)</f>
        <v/>
      </c>
      <c r="D403" s="97" t="str">
        <f>IF(C403="","",IFERROR(IF(SUMIFS(tbLancamentos[Tempo indisponível],tbLancamentos[Equipamento],$C403,tbLancamentos[Momento da falha],"&gt;="&amp;$C$7,tbLancamentos[Momento da falha],"&lt;="&amp;$D$7)&gt;$E$7,$E$7,SUMIFS(tbLancamentos[Tempo indisponível],tbLancamentos[Equipamento],$C403,tbLancamentos[Momento da falha],"&gt;="&amp;$C$7,tbLancamentos[Momento da falha],"&lt;="&amp;$D$7)),""))</f>
        <v/>
      </c>
      <c r="E403" s="97" t="str">
        <f>IF(C403="","",IFERROR(SUMIFS(tbLancamentos[Meta tempo reparo],tbLancamentos[Equipamento],$C403,tbLancamentos[Momento da falha],"&gt;="&amp;$C$7,tbLancamentos[Momento da falha],"&lt;="&amp;$D$7),""))</f>
        <v/>
      </c>
      <c r="F403" s="97" t="str">
        <f>IF(C403="","",IFERROR(SUMIFS(tbLancamentos[Tempo devido],tbLancamentos[Equipamento],$C403,tbLancamentos[Momento da falha],"&gt;="&amp;$C$7,tbLancamentos[Momento da falha],"&lt;="&amp;$D$7),""))</f>
        <v/>
      </c>
      <c r="G40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3" s="127" t="str">
        <f t="shared" si="8"/>
        <v/>
      </c>
    </row>
    <row r="404" spans="2:9" ht="20.100000000000001" customHeight="1" x14ac:dyDescent="0.25">
      <c r="B404" s="94">
        <f>CadEqu!B400</f>
        <v>394</v>
      </c>
      <c r="C404" s="94" t="str">
        <f>IF(CadEqu!F400="","",CadEqu!F400)</f>
        <v/>
      </c>
      <c r="D404" s="97" t="str">
        <f>IF(C404="","",IFERROR(IF(SUMIFS(tbLancamentos[Tempo indisponível],tbLancamentos[Equipamento],$C404,tbLancamentos[Momento da falha],"&gt;="&amp;$C$7,tbLancamentos[Momento da falha],"&lt;="&amp;$D$7)&gt;$E$7,$E$7,SUMIFS(tbLancamentos[Tempo indisponível],tbLancamentos[Equipamento],$C404,tbLancamentos[Momento da falha],"&gt;="&amp;$C$7,tbLancamentos[Momento da falha],"&lt;="&amp;$D$7)),""))</f>
        <v/>
      </c>
      <c r="E404" s="97" t="str">
        <f>IF(C404="","",IFERROR(SUMIFS(tbLancamentos[Meta tempo reparo],tbLancamentos[Equipamento],$C404,tbLancamentos[Momento da falha],"&gt;="&amp;$C$7,tbLancamentos[Momento da falha],"&lt;="&amp;$D$7),""))</f>
        <v/>
      </c>
      <c r="F404" s="97" t="str">
        <f>IF(C404="","",IFERROR(SUMIFS(tbLancamentos[Tempo devido],tbLancamentos[Equipamento],$C404,tbLancamentos[Momento da falha],"&gt;="&amp;$C$7,tbLancamentos[Momento da falha],"&lt;="&amp;$D$7),""))</f>
        <v/>
      </c>
      <c r="G40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4" s="127" t="str">
        <f t="shared" si="8"/>
        <v/>
      </c>
    </row>
    <row r="405" spans="2:9" ht="20.100000000000001" customHeight="1" x14ac:dyDescent="0.25">
      <c r="B405" s="94">
        <f>CadEqu!B401</f>
        <v>395</v>
      </c>
      <c r="C405" s="94" t="str">
        <f>IF(CadEqu!F401="","",CadEqu!F401)</f>
        <v/>
      </c>
      <c r="D405" s="97" t="str">
        <f>IF(C405="","",IFERROR(IF(SUMIFS(tbLancamentos[Tempo indisponível],tbLancamentos[Equipamento],$C405,tbLancamentos[Momento da falha],"&gt;="&amp;$C$7,tbLancamentos[Momento da falha],"&lt;="&amp;$D$7)&gt;$E$7,$E$7,SUMIFS(tbLancamentos[Tempo indisponível],tbLancamentos[Equipamento],$C405,tbLancamentos[Momento da falha],"&gt;="&amp;$C$7,tbLancamentos[Momento da falha],"&lt;="&amp;$D$7)),""))</f>
        <v/>
      </c>
      <c r="E405" s="97" t="str">
        <f>IF(C405="","",IFERROR(SUMIFS(tbLancamentos[Meta tempo reparo],tbLancamentos[Equipamento],$C405,tbLancamentos[Momento da falha],"&gt;="&amp;$C$7,tbLancamentos[Momento da falha],"&lt;="&amp;$D$7),""))</f>
        <v/>
      </c>
      <c r="F405" s="97" t="str">
        <f>IF(C405="","",IFERROR(SUMIFS(tbLancamentos[Tempo devido],tbLancamentos[Equipamento],$C405,tbLancamentos[Momento da falha],"&gt;="&amp;$C$7,tbLancamentos[Momento da falha],"&lt;="&amp;$D$7),""))</f>
        <v/>
      </c>
      <c r="G40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5" s="127" t="str">
        <f t="shared" si="8"/>
        <v/>
      </c>
    </row>
    <row r="406" spans="2:9" ht="20.100000000000001" customHeight="1" x14ac:dyDescent="0.25">
      <c r="B406" s="94">
        <f>CadEqu!B402</f>
        <v>396</v>
      </c>
      <c r="C406" s="94" t="str">
        <f>IF(CadEqu!F402="","",CadEqu!F402)</f>
        <v/>
      </c>
      <c r="D406" s="97" t="str">
        <f>IF(C406="","",IFERROR(IF(SUMIFS(tbLancamentos[Tempo indisponível],tbLancamentos[Equipamento],$C406,tbLancamentos[Momento da falha],"&gt;="&amp;$C$7,tbLancamentos[Momento da falha],"&lt;="&amp;$D$7)&gt;$E$7,$E$7,SUMIFS(tbLancamentos[Tempo indisponível],tbLancamentos[Equipamento],$C406,tbLancamentos[Momento da falha],"&gt;="&amp;$C$7,tbLancamentos[Momento da falha],"&lt;="&amp;$D$7)),""))</f>
        <v/>
      </c>
      <c r="E406" s="97" t="str">
        <f>IF(C406="","",IFERROR(SUMIFS(tbLancamentos[Meta tempo reparo],tbLancamentos[Equipamento],$C406,tbLancamentos[Momento da falha],"&gt;="&amp;$C$7,tbLancamentos[Momento da falha],"&lt;="&amp;$D$7),""))</f>
        <v/>
      </c>
      <c r="F406" s="97" t="str">
        <f>IF(C406="","",IFERROR(SUMIFS(tbLancamentos[Tempo devido],tbLancamentos[Equipamento],$C406,tbLancamentos[Momento da falha],"&gt;="&amp;$C$7,tbLancamentos[Momento da falha],"&lt;="&amp;$D$7),""))</f>
        <v/>
      </c>
      <c r="G40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6" s="127" t="str">
        <f t="shared" si="8"/>
        <v/>
      </c>
    </row>
    <row r="407" spans="2:9" ht="20.100000000000001" customHeight="1" x14ac:dyDescent="0.25">
      <c r="B407" s="94">
        <f>CadEqu!B403</f>
        <v>397</v>
      </c>
      <c r="C407" s="94" t="str">
        <f>IF(CadEqu!F403="","",CadEqu!F403)</f>
        <v/>
      </c>
      <c r="D407" s="97" t="str">
        <f>IF(C407="","",IFERROR(IF(SUMIFS(tbLancamentos[Tempo indisponível],tbLancamentos[Equipamento],$C407,tbLancamentos[Momento da falha],"&gt;="&amp;$C$7,tbLancamentos[Momento da falha],"&lt;="&amp;$D$7)&gt;$E$7,$E$7,SUMIFS(tbLancamentos[Tempo indisponível],tbLancamentos[Equipamento],$C407,tbLancamentos[Momento da falha],"&gt;="&amp;$C$7,tbLancamentos[Momento da falha],"&lt;="&amp;$D$7)),""))</f>
        <v/>
      </c>
      <c r="E407" s="97" t="str">
        <f>IF(C407="","",IFERROR(SUMIFS(tbLancamentos[Meta tempo reparo],tbLancamentos[Equipamento],$C407,tbLancamentos[Momento da falha],"&gt;="&amp;$C$7,tbLancamentos[Momento da falha],"&lt;="&amp;$D$7),""))</f>
        <v/>
      </c>
      <c r="F407" s="97" t="str">
        <f>IF(C407="","",IFERROR(SUMIFS(tbLancamentos[Tempo devido],tbLancamentos[Equipamento],$C407,tbLancamentos[Momento da falha],"&gt;="&amp;$C$7,tbLancamentos[Momento da falha],"&lt;="&amp;$D$7),""))</f>
        <v/>
      </c>
      <c r="G40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7" s="127" t="str">
        <f t="shared" si="8"/>
        <v/>
      </c>
    </row>
    <row r="408" spans="2:9" ht="20.100000000000001" customHeight="1" x14ac:dyDescent="0.25">
      <c r="B408" s="94">
        <f>CadEqu!B404</f>
        <v>398</v>
      </c>
      <c r="C408" s="94" t="str">
        <f>IF(CadEqu!F404="","",CadEqu!F404)</f>
        <v/>
      </c>
      <c r="D408" s="97" t="str">
        <f>IF(C408="","",IFERROR(IF(SUMIFS(tbLancamentos[Tempo indisponível],tbLancamentos[Equipamento],$C408,tbLancamentos[Momento da falha],"&gt;="&amp;$C$7,tbLancamentos[Momento da falha],"&lt;="&amp;$D$7)&gt;$E$7,$E$7,SUMIFS(tbLancamentos[Tempo indisponível],tbLancamentos[Equipamento],$C408,tbLancamentos[Momento da falha],"&gt;="&amp;$C$7,tbLancamentos[Momento da falha],"&lt;="&amp;$D$7)),""))</f>
        <v/>
      </c>
      <c r="E408" s="97" t="str">
        <f>IF(C408="","",IFERROR(SUMIFS(tbLancamentos[Meta tempo reparo],tbLancamentos[Equipamento],$C408,tbLancamentos[Momento da falha],"&gt;="&amp;$C$7,tbLancamentos[Momento da falha],"&lt;="&amp;$D$7),""))</f>
        <v/>
      </c>
      <c r="F408" s="97" t="str">
        <f>IF(C408="","",IFERROR(SUMIFS(tbLancamentos[Tempo devido],tbLancamentos[Equipamento],$C408,tbLancamentos[Momento da falha],"&gt;="&amp;$C$7,tbLancamentos[Momento da falha],"&lt;="&amp;$D$7),""))</f>
        <v/>
      </c>
      <c r="G40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8" s="127" t="str">
        <f t="shared" si="8"/>
        <v/>
      </c>
    </row>
    <row r="409" spans="2:9" ht="20.100000000000001" customHeight="1" x14ac:dyDescent="0.25">
      <c r="B409" s="94">
        <f>CadEqu!B405</f>
        <v>399</v>
      </c>
      <c r="C409" s="94" t="str">
        <f>IF(CadEqu!F405="","",CadEqu!F405)</f>
        <v/>
      </c>
      <c r="D409" s="97" t="str">
        <f>IF(C409="","",IFERROR(IF(SUMIFS(tbLancamentos[Tempo indisponível],tbLancamentos[Equipamento],$C409,tbLancamentos[Momento da falha],"&gt;="&amp;$C$7,tbLancamentos[Momento da falha],"&lt;="&amp;$D$7)&gt;$E$7,$E$7,SUMIFS(tbLancamentos[Tempo indisponível],tbLancamentos[Equipamento],$C409,tbLancamentos[Momento da falha],"&gt;="&amp;$C$7,tbLancamentos[Momento da falha],"&lt;="&amp;$D$7)),""))</f>
        <v/>
      </c>
      <c r="E409" s="97" t="str">
        <f>IF(C409="","",IFERROR(SUMIFS(tbLancamentos[Meta tempo reparo],tbLancamentos[Equipamento],$C409,tbLancamentos[Momento da falha],"&gt;="&amp;$C$7,tbLancamentos[Momento da falha],"&lt;="&amp;$D$7),""))</f>
        <v/>
      </c>
      <c r="F409" s="97" t="str">
        <f>IF(C409="","",IFERROR(SUMIFS(tbLancamentos[Tempo devido],tbLancamentos[Equipamento],$C409,tbLancamentos[Momento da falha],"&gt;="&amp;$C$7,tbLancamentos[Momento da falha],"&lt;="&amp;$D$7),""))</f>
        <v/>
      </c>
      <c r="G40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0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09" s="127" t="str">
        <f t="shared" si="8"/>
        <v/>
      </c>
    </row>
    <row r="410" spans="2:9" ht="20.100000000000001" customHeight="1" x14ac:dyDescent="0.25">
      <c r="B410" s="94">
        <f>CadEqu!B406</f>
        <v>400</v>
      </c>
      <c r="C410" s="94" t="str">
        <f>IF(CadEqu!F406="","",CadEqu!F406)</f>
        <v/>
      </c>
      <c r="D410" s="97" t="str">
        <f>IF(C410="","",IFERROR(IF(SUMIFS(tbLancamentos[Tempo indisponível],tbLancamentos[Equipamento],$C410,tbLancamentos[Momento da falha],"&gt;="&amp;$C$7,tbLancamentos[Momento da falha],"&lt;="&amp;$D$7)&gt;$E$7,$E$7,SUMIFS(tbLancamentos[Tempo indisponível],tbLancamentos[Equipamento],$C410,tbLancamentos[Momento da falha],"&gt;="&amp;$C$7,tbLancamentos[Momento da falha],"&lt;="&amp;$D$7)),""))</f>
        <v/>
      </c>
      <c r="E410" s="97" t="str">
        <f>IF(C410="","",IFERROR(SUMIFS(tbLancamentos[Meta tempo reparo],tbLancamentos[Equipamento],$C410,tbLancamentos[Momento da falha],"&gt;="&amp;$C$7,tbLancamentos[Momento da falha],"&lt;="&amp;$D$7),""))</f>
        <v/>
      </c>
      <c r="F410" s="97" t="str">
        <f>IF(C410="","",IFERROR(SUMIFS(tbLancamentos[Tempo devido],tbLancamentos[Equipamento],$C410,tbLancamentos[Momento da falha],"&gt;="&amp;$C$7,tbLancamentos[Momento da falha],"&lt;="&amp;$D$7),""))</f>
        <v/>
      </c>
      <c r="G41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0" s="127" t="str">
        <f t="shared" si="8"/>
        <v/>
      </c>
    </row>
    <row r="411" spans="2:9" ht="20.100000000000001" customHeight="1" x14ac:dyDescent="0.25">
      <c r="B411" s="94">
        <f>CadEqu!B407</f>
        <v>401</v>
      </c>
      <c r="C411" s="94" t="str">
        <f>IF(CadEqu!F407="","",CadEqu!F407)</f>
        <v/>
      </c>
      <c r="D411" s="97" t="str">
        <f>IF(C411="","",IFERROR(IF(SUMIFS(tbLancamentos[Tempo indisponível],tbLancamentos[Equipamento],$C411,tbLancamentos[Momento da falha],"&gt;="&amp;$C$7,tbLancamentos[Momento da falha],"&lt;="&amp;$D$7)&gt;$E$7,$E$7,SUMIFS(tbLancamentos[Tempo indisponível],tbLancamentos[Equipamento],$C411,tbLancamentos[Momento da falha],"&gt;="&amp;$C$7,tbLancamentos[Momento da falha],"&lt;="&amp;$D$7)),""))</f>
        <v/>
      </c>
      <c r="E411" s="97" t="str">
        <f>IF(C411="","",IFERROR(SUMIFS(tbLancamentos[Meta tempo reparo],tbLancamentos[Equipamento],$C411,tbLancamentos[Momento da falha],"&gt;="&amp;$C$7,tbLancamentos[Momento da falha],"&lt;="&amp;$D$7),""))</f>
        <v/>
      </c>
      <c r="F411" s="97" t="str">
        <f>IF(C411="","",IFERROR(SUMIFS(tbLancamentos[Tempo devido],tbLancamentos[Equipamento],$C411,tbLancamentos[Momento da falha],"&gt;="&amp;$C$7,tbLancamentos[Momento da falha],"&lt;="&amp;$D$7),""))</f>
        <v/>
      </c>
      <c r="G41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1" s="127" t="str">
        <f t="shared" si="8"/>
        <v/>
      </c>
    </row>
    <row r="412" spans="2:9" ht="20.100000000000001" customHeight="1" x14ac:dyDescent="0.25">
      <c r="B412" s="94">
        <f>CadEqu!B408</f>
        <v>402</v>
      </c>
      <c r="C412" s="94" t="str">
        <f>IF(CadEqu!F408="","",CadEqu!F408)</f>
        <v/>
      </c>
      <c r="D412" s="97" t="str">
        <f>IF(C412="","",IFERROR(IF(SUMIFS(tbLancamentos[Tempo indisponível],tbLancamentos[Equipamento],$C412,tbLancamentos[Momento da falha],"&gt;="&amp;$C$7,tbLancamentos[Momento da falha],"&lt;="&amp;$D$7)&gt;$E$7,$E$7,SUMIFS(tbLancamentos[Tempo indisponível],tbLancamentos[Equipamento],$C412,tbLancamentos[Momento da falha],"&gt;="&amp;$C$7,tbLancamentos[Momento da falha],"&lt;="&amp;$D$7)),""))</f>
        <v/>
      </c>
      <c r="E412" s="97" t="str">
        <f>IF(C412="","",IFERROR(SUMIFS(tbLancamentos[Meta tempo reparo],tbLancamentos[Equipamento],$C412,tbLancamentos[Momento da falha],"&gt;="&amp;$C$7,tbLancamentos[Momento da falha],"&lt;="&amp;$D$7),""))</f>
        <v/>
      </c>
      <c r="F412" s="97" t="str">
        <f>IF(C412="","",IFERROR(SUMIFS(tbLancamentos[Tempo devido],tbLancamentos[Equipamento],$C412,tbLancamentos[Momento da falha],"&gt;="&amp;$C$7,tbLancamentos[Momento da falha],"&lt;="&amp;$D$7),""))</f>
        <v/>
      </c>
      <c r="G41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2" s="127" t="str">
        <f t="shared" si="8"/>
        <v/>
      </c>
    </row>
    <row r="413" spans="2:9" ht="20.100000000000001" customHeight="1" x14ac:dyDescent="0.25">
      <c r="B413" s="94">
        <f>CadEqu!B409</f>
        <v>403</v>
      </c>
      <c r="C413" s="94" t="str">
        <f>IF(CadEqu!F409="","",CadEqu!F409)</f>
        <v/>
      </c>
      <c r="D413" s="97" t="str">
        <f>IF(C413="","",IFERROR(IF(SUMIFS(tbLancamentos[Tempo indisponível],tbLancamentos[Equipamento],$C413,tbLancamentos[Momento da falha],"&gt;="&amp;$C$7,tbLancamentos[Momento da falha],"&lt;="&amp;$D$7)&gt;$E$7,$E$7,SUMIFS(tbLancamentos[Tempo indisponível],tbLancamentos[Equipamento],$C413,tbLancamentos[Momento da falha],"&gt;="&amp;$C$7,tbLancamentos[Momento da falha],"&lt;="&amp;$D$7)),""))</f>
        <v/>
      </c>
      <c r="E413" s="97" t="str">
        <f>IF(C413="","",IFERROR(SUMIFS(tbLancamentos[Meta tempo reparo],tbLancamentos[Equipamento],$C413,tbLancamentos[Momento da falha],"&gt;="&amp;$C$7,tbLancamentos[Momento da falha],"&lt;="&amp;$D$7),""))</f>
        <v/>
      </c>
      <c r="F413" s="97" t="str">
        <f>IF(C413="","",IFERROR(SUMIFS(tbLancamentos[Tempo devido],tbLancamentos[Equipamento],$C413,tbLancamentos[Momento da falha],"&gt;="&amp;$C$7,tbLancamentos[Momento da falha],"&lt;="&amp;$D$7),""))</f>
        <v/>
      </c>
      <c r="G41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3" s="127" t="str">
        <f t="shared" si="8"/>
        <v/>
      </c>
    </row>
    <row r="414" spans="2:9" ht="20.100000000000001" customHeight="1" x14ac:dyDescent="0.25">
      <c r="B414" s="94">
        <f>CadEqu!B410</f>
        <v>404</v>
      </c>
      <c r="C414" s="94" t="str">
        <f>IF(CadEqu!F410="","",CadEqu!F410)</f>
        <v/>
      </c>
      <c r="D414" s="97" t="str">
        <f>IF(C414="","",IFERROR(IF(SUMIFS(tbLancamentos[Tempo indisponível],tbLancamentos[Equipamento],$C414,tbLancamentos[Momento da falha],"&gt;="&amp;$C$7,tbLancamentos[Momento da falha],"&lt;="&amp;$D$7)&gt;$E$7,$E$7,SUMIFS(tbLancamentos[Tempo indisponível],tbLancamentos[Equipamento],$C414,tbLancamentos[Momento da falha],"&gt;="&amp;$C$7,tbLancamentos[Momento da falha],"&lt;="&amp;$D$7)),""))</f>
        <v/>
      </c>
      <c r="E414" s="97" t="str">
        <f>IF(C414="","",IFERROR(SUMIFS(tbLancamentos[Meta tempo reparo],tbLancamentos[Equipamento],$C414,tbLancamentos[Momento da falha],"&gt;="&amp;$C$7,tbLancamentos[Momento da falha],"&lt;="&amp;$D$7),""))</f>
        <v/>
      </c>
      <c r="F414" s="97" t="str">
        <f>IF(C414="","",IFERROR(SUMIFS(tbLancamentos[Tempo devido],tbLancamentos[Equipamento],$C414,tbLancamentos[Momento da falha],"&gt;="&amp;$C$7,tbLancamentos[Momento da falha],"&lt;="&amp;$D$7),""))</f>
        <v/>
      </c>
      <c r="G41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4" s="127" t="str">
        <f t="shared" si="8"/>
        <v/>
      </c>
    </row>
    <row r="415" spans="2:9" ht="20.100000000000001" customHeight="1" x14ac:dyDescent="0.25">
      <c r="B415" s="94">
        <f>CadEqu!B411</f>
        <v>405</v>
      </c>
      <c r="C415" s="94" t="str">
        <f>IF(CadEqu!F411="","",CadEqu!F411)</f>
        <v/>
      </c>
      <c r="D415" s="97" t="str">
        <f>IF(C415="","",IFERROR(IF(SUMIFS(tbLancamentos[Tempo indisponível],tbLancamentos[Equipamento],$C415,tbLancamentos[Momento da falha],"&gt;="&amp;$C$7,tbLancamentos[Momento da falha],"&lt;="&amp;$D$7)&gt;$E$7,$E$7,SUMIFS(tbLancamentos[Tempo indisponível],tbLancamentos[Equipamento],$C415,tbLancamentos[Momento da falha],"&gt;="&amp;$C$7,tbLancamentos[Momento da falha],"&lt;="&amp;$D$7)),""))</f>
        <v/>
      </c>
      <c r="E415" s="97" t="str">
        <f>IF(C415="","",IFERROR(SUMIFS(tbLancamentos[Meta tempo reparo],tbLancamentos[Equipamento],$C415,tbLancamentos[Momento da falha],"&gt;="&amp;$C$7,tbLancamentos[Momento da falha],"&lt;="&amp;$D$7),""))</f>
        <v/>
      </c>
      <c r="F415" s="97" t="str">
        <f>IF(C415="","",IFERROR(SUMIFS(tbLancamentos[Tempo devido],tbLancamentos[Equipamento],$C415,tbLancamentos[Momento da falha],"&gt;="&amp;$C$7,tbLancamentos[Momento da falha],"&lt;="&amp;$D$7),""))</f>
        <v/>
      </c>
      <c r="G41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5" s="127" t="str">
        <f t="shared" si="8"/>
        <v/>
      </c>
    </row>
    <row r="416" spans="2:9" ht="20.100000000000001" customHeight="1" x14ac:dyDescent="0.25">
      <c r="B416" s="94">
        <f>CadEqu!B412</f>
        <v>406</v>
      </c>
      <c r="C416" s="94" t="str">
        <f>IF(CadEqu!F412="","",CadEqu!F412)</f>
        <v/>
      </c>
      <c r="D416" s="97" t="str">
        <f>IF(C416="","",IFERROR(IF(SUMIFS(tbLancamentos[Tempo indisponível],tbLancamentos[Equipamento],$C416,tbLancamentos[Momento da falha],"&gt;="&amp;$C$7,tbLancamentos[Momento da falha],"&lt;="&amp;$D$7)&gt;$E$7,$E$7,SUMIFS(tbLancamentos[Tempo indisponível],tbLancamentos[Equipamento],$C416,tbLancamentos[Momento da falha],"&gt;="&amp;$C$7,tbLancamentos[Momento da falha],"&lt;="&amp;$D$7)),""))</f>
        <v/>
      </c>
      <c r="E416" s="97" t="str">
        <f>IF(C416="","",IFERROR(SUMIFS(tbLancamentos[Meta tempo reparo],tbLancamentos[Equipamento],$C416,tbLancamentos[Momento da falha],"&gt;="&amp;$C$7,tbLancamentos[Momento da falha],"&lt;="&amp;$D$7),""))</f>
        <v/>
      </c>
      <c r="F416" s="97" t="str">
        <f>IF(C416="","",IFERROR(SUMIFS(tbLancamentos[Tempo devido],tbLancamentos[Equipamento],$C416,tbLancamentos[Momento da falha],"&gt;="&amp;$C$7,tbLancamentos[Momento da falha],"&lt;="&amp;$D$7),""))</f>
        <v/>
      </c>
      <c r="G41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6" s="127" t="str">
        <f t="shared" si="8"/>
        <v/>
      </c>
    </row>
    <row r="417" spans="2:9" ht="20.100000000000001" customHeight="1" x14ac:dyDescent="0.25">
      <c r="B417" s="94">
        <f>CadEqu!B413</f>
        <v>407</v>
      </c>
      <c r="C417" s="94" t="str">
        <f>IF(CadEqu!F413="","",CadEqu!F413)</f>
        <v/>
      </c>
      <c r="D417" s="97" t="str">
        <f>IF(C417="","",IFERROR(IF(SUMIFS(tbLancamentos[Tempo indisponível],tbLancamentos[Equipamento],$C417,tbLancamentos[Momento da falha],"&gt;="&amp;$C$7,tbLancamentos[Momento da falha],"&lt;="&amp;$D$7)&gt;$E$7,$E$7,SUMIFS(tbLancamentos[Tempo indisponível],tbLancamentos[Equipamento],$C417,tbLancamentos[Momento da falha],"&gt;="&amp;$C$7,tbLancamentos[Momento da falha],"&lt;="&amp;$D$7)),""))</f>
        <v/>
      </c>
      <c r="E417" s="97" t="str">
        <f>IF(C417="","",IFERROR(SUMIFS(tbLancamentos[Meta tempo reparo],tbLancamentos[Equipamento],$C417,tbLancamentos[Momento da falha],"&gt;="&amp;$C$7,tbLancamentos[Momento da falha],"&lt;="&amp;$D$7),""))</f>
        <v/>
      </c>
      <c r="F417" s="97" t="str">
        <f>IF(C417="","",IFERROR(SUMIFS(tbLancamentos[Tempo devido],tbLancamentos[Equipamento],$C417,tbLancamentos[Momento da falha],"&gt;="&amp;$C$7,tbLancamentos[Momento da falha],"&lt;="&amp;$D$7),""))</f>
        <v/>
      </c>
      <c r="G41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7" s="127" t="str">
        <f t="shared" si="8"/>
        <v/>
      </c>
    </row>
    <row r="418" spans="2:9" ht="20.100000000000001" customHeight="1" x14ac:dyDescent="0.25">
      <c r="B418" s="94">
        <f>CadEqu!B414</f>
        <v>408</v>
      </c>
      <c r="C418" s="94" t="str">
        <f>IF(CadEqu!F414="","",CadEqu!F414)</f>
        <v/>
      </c>
      <c r="D418" s="97" t="str">
        <f>IF(C418="","",IFERROR(IF(SUMIFS(tbLancamentos[Tempo indisponível],tbLancamentos[Equipamento],$C418,tbLancamentos[Momento da falha],"&gt;="&amp;$C$7,tbLancamentos[Momento da falha],"&lt;="&amp;$D$7)&gt;$E$7,$E$7,SUMIFS(tbLancamentos[Tempo indisponível],tbLancamentos[Equipamento],$C418,tbLancamentos[Momento da falha],"&gt;="&amp;$C$7,tbLancamentos[Momento da falha],"&lt;="&amp;$D$7)),""))</f>
        <v/>
      </c>
      <c r="E418" s="97" t="str">
        <f>IF(C418="","",IFERROR(SUMIFS(tbLancamentos[Meta tempo reparo],tbLancamentos[Equipamento],$C418,tbLancamentos[Momento da falha],"&gt;="&amp;$C$7,tbLancamentos[Momento da falha],"&lt;="&amp;$D$7),""))</f>
        <v/>
      </c>
      <c r="F418" s="97" t="str">
        <f>IF(C418="","",IFERROR(SUMIFS(tbLancamentos[Tempo devido],tbLancamentos[Equipamento],$C418,tbLancamentos[Momento da falha],"&gt;="&amp;$C$7,tbLancamentos[Momento da falha],"&lt;="&amp;$D$7),""))</f>
        <v/>
      </c>
      <c r="G41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8" s="127" t="str">
        <f t="shared" si="8"/>
        <v/>
      </c>
    </row>
    <row r="419" spans="2:9" ht="20.100000000000001" customHeight="1" x14ac:dyDescent="0.25">
      <c r="B419" s="94">
        <f>CadEqu!B415</f>
        <v>409</v>
      </c>
      <c r="C419" s="94" t="str">
        <f>IF(CadEqu!F415="","",CadEqu!F415)</f>
        <v/>
      </c>
      <c r="D419" s="97" t="str">
        <f>IF(C419="","",IFERROR(IF(SUMIFS(tbLancamentos[Tempo indisponível],tbLancamentos[Equipamento],$C419,tbLancamentos[Momento da falha],"&gt;="&amp;$C$7,tbLancamentos[Momento da falha],"&lt;="&amp;$D$7)&gt;$E$7,$E$7,SUMIFS(tbLancamentos[Tempo indisponível],tbLancamentos[Equipamento],$C419,tbLancamentos[Momento da falha],"&gt;="&amp;$C$7,tbLancamentos[Momento da falha],"&lt;="&amp;$D$7)),""))</f>
        <v/>
      </c>
      <c r="E419" s="97" t="str">
        <f>IF(C419="","",IFERROR(SUMIFS(tbLancamentos[Meta tempo reparo],tbLancamentos[Equipamento],$C419,tbLancamentos[Momento da falha],"&gt;="&amp;$C$7,tbLancamentos[Momento da falha],"&lt;="&amp;$D$7),""))</f>
        <v/>
      </c>
      <c r="F419" s="97" t="str">
        <f>IF(C419="","",IFERROR(SUMIFS(tbLancamentos[Tempo devido],tbLancamentos[Equipamento],$C419,tbLancamentos[Momento da falha],"&gt;="&amp;$C$7,tbLancamentos[Momento da falha],"&lt;="&amp;$D$7),""))</f>
        <v/>
      </c>
      <c r="G41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1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19" s="127" t="str">
        <f t="shared" si="8"/>
        <v/>
      </c>
    </row>
    <row r="420" spans="2:9" ht="20.100000000000001" customHeight="1" x14ac:dyDescent="0.25">
      <c r="B420" s="94">
        <f>CadEqu!B416</f>
        <v>410</v>
      </c>
      <c r="C420" s="94" t="str">
        <f>IF(CadEqu!F416="","",CadEqu!F416)</f>
        <v/>
      </c>
      <c r="D420" s="97" t="str">
        <f>IF(C420="","",IFERROR(IF(SUMIFS(tbLancamentos[Tempo indisponível],tbLancamentos[Equipamento],$C420,tbLancamentos[Momento da falha],"&gt;="&amp;$C$7,tbLancamentos[Momento da falha],"&lt;="&amp;$D$7)&gt;$E$7,$E$7,SUMIFS(tbLancamentos[Tempo indisponível],tbLancamentos[Equipamento],$C420,tbLancamentos[Momento da falha],"&gt;="&amp;$C$7,tbLancamentos[Momento da falha],"&lt;="&amp;$D$7)),""))</f>
        <v/>
      </c>
      <c r="E420" s="97" t="str">
        <f>IF(C420="","",IFERROR(SUMIFS(tbLancamentos[Meta tempo reparo],tbLancamentos[Equipamento],$C420,tbLancamentos[Momento da falha],"&gt;="&amp;$C$7,tbLancamentos[Momento da falha],"&lt;="&amp;$D$7),""))</f>
        <v/>
      </c>
      <c r="F420" s="97" t="str">
        <f>IF(C420="","",IFERROR(SUMIFS(tbLancamentos[Tempo devido],tbLancamentos[Equipamento],$C420,tbLancamentos[Momento da falha],"&gt;="&amp;$C$7,tbLancamentos[Momento da falha],"&lt;="&amp;$D$7),""))</f>
        <v/>
      </c>
      <c r="G42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0" s="127" t="str">
        <f t="shared" si="8"/>
        <v/>
      </c>
    </row>
    <row r="421" spans="2:9" ht="20.100000000000001" customHeight="1" x14ac:dyDescent="0.25">
      <c r="B421" s="94">
        <f>CadEqu!B417</f>
        <v>411</v>
      </c>
      <c r="C421" s="94" t="str">
        <f>IF(CadEqu!F417="","",CadEqu!F417)</f>
        <v/>
      </c>
      <c r="D421" s="97" t="str">
        <f>IF(C421="","",IFERROR(IF(SUMIFS(tbLancamentos[Tempo indisponível],tbLancamentos[Equipamento],$C421,tbLancamentos[Momento da falha],"&gt;="&amp;$C$7,tbLancamentos[Momento da falha],"&lt;="&amp;$D$7)&gt;$E$7,$E$7,SUMIFS(tbLancamentos[Tempo indisponível],tbLancamentos[Equipamento],$C421,tbLancamentos[Momento da falha],"&gt;="&amp;$C$7,tbLancamentos[Momento da falha],"&lt;="&amp;$D$7)),""))</f>
        <v/>
      </c>
      <c r="E421" s="97" t="str">
        <f>IF(C421="","",IFERROR(SUMIFS(tbLancamentos[Meta tempo reparo],tbLancamentos[Equipamento],$C421,tbLancamentos[Momento da falha],"&gt;="&amp;$C$7,tbLancamentos[Momento da falha],"&lt;="&amp;$D$7),""))</f>
        <v/>
      </c>
      <c r="F421" s="97" t="str">
        <f>IF(C421="","",IFERROR(SUMIFS(tbLancamentos[Tempo devido],tbLancamentos[Equipamento],$C421,tbLancamentos[Momento da falha],"&gt;="&amp;$C$7,tbLancamentos[Momento da falha],"&lt;="&amp;$D$7),""))</f>
        <v/>
      </c>
      <c r="G42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1" s="127" t="str">
        <f t="shared" si="8"/>
        <v/>
      </c>
    </row>
    <row r="422" spans="2:9" ht="20.100000000000001" customHeight="1" x14ac:dyDescent="0.25">
      <c r="B422" s="94">
        <f>CadEqu!B418</f>
        <v>412</v>
      </c>
      <c r="C422" s="94" t="str">
        <f>IF(CadEqu!F418="","",CadEqu!F418)</f>
        <v/>
      </c>
      <c r="D422" s="97" t="str">
        <f>IF(C422="","",IFERROR(IF(SUMIFS(tbLancamentos[Tempo indisponível],tbLancamentos[Equipamento],$C422,tbLancamentos[Momento da falha],"&gt;="&amp;$C$7,tbLancamentos[Momento da falha],"&lt;="&amp;$D$7)&gt;$E$7,$E$7,SUMIFS(tbLancamentos[Tempo indisponível],tbLancamentos[Equipamento],$C422,tbLancamentos[Momento da falha],"&gt;="&amp;$C$7,tbLancamentos[Momento da falha],"&lt;="&amp;$D$7)),""))</f>
        <v/>
      </c>
      <c r="E422" s="97" t="str">
        <f>IF(C422="","",IFERROR(SUMIFS(tbLancamentos[Meta tempo reparo],tbLancamentos[Equipamento],$C422,tbLancamentos[Momento da falha],"&gt;="&amp;$C$7,tbLancamentos[Momento da falha],"&lt;="&amp;$D$7),""))</f>
        <v/>
      </c>
      <c r="F422" s="97" t="str">
        <f>IF(C422="","",IFERROR(SUMIFS(tbLancamentos[Tempo devido],tbLancamentos[Equipamento],$C422,tbLancamentos[Momento da falha],"&gt;="&amp;$C$7,tbLancamentos[Momento da falha],"&lt;="&amp;$D$7),""))</f>
        <v/>
      </c>
      <c r="G42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2" s="127" t="str">
        <f t="shared" si="8"/>
        <v/>
      </c>
    </row>
    <row r="423" spans="2:9" ht="20.100000000000001" customHeight="1" x14ac:dyDescent="0.25">
      <c r="B423" s="94">
        <f>CadEqu!B419</f>
        <v>413</v>
      </c>
      <c r="C423" s="94" t="str">
        <f>IF(CadEqu!F419="","",CadEqu!F419)</f>
        <v/>
      </c>
      <c r="D423" s="97" t="str">
        <f>IF(C423="","",IFERROR(IF(SUMIFS(tbLancamentos[Tempo indisponível],tbLancamentos[Equipamento],$C423,tbLancamentos[Momento da falha],"&gt;="&amp;$C$7,tbLancamentos[Momento da falha],"&lt;="&amp;$D$7)&gt;$E$7,$E$7,SUMIFS(tbLancamentos[Tempo indisponível],tbLancamentos[Equipamento],$C423,tbLancamentos[Momento da falha],"&gt;="&amp;$C$7,tbLancamentos[Momento da falha],"&lt;="&amp;$D$7)),""))</f>
        <v/>
      </c>
      <c r="E423" s="97" t="str">
        <f>IF(C423="","",IFERROR(SUMIFS(tbLancamentos[Meta tempo reparo],tbLancamentos[Equipamento],$C423,tbLancamentos[Momento da falha],"&gt;="&amp;$C$7,tbLancamentos[Momento da falha],"&lt;="&amp;$D$7),""))</f>
        <v/>
      </c>
      <c r="F423" s="97" t="str">
        <f>IF(C423="","",IFERROR(SUMIFS(tbLancamentos[Tempo devido],tbLancamentos[Equipamento],$C423,tbLancamentos[Momento da falha],"&gt;="&amp;$C$7,tbLancamentos[Momento da falha],"&lt;="&amp;$D$7),""))</f>
        <v/>
      </c>
      <c r="G42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3" s="127" t="str">
        <f t="shared" si="8"/>
        <v/>
      </c>
    </row>
    <row r="424" spans="2:9" ht="20.100000000000001" customHeight="1" x14ac:dyDescent="0.25">
      <c r="B424" s="94">
        <f>CadEqu!B420</f>
        <v>414</v>
      </c>
      <c r="C424" s="94" t="str">
        <f>IF(CadEqu!F420="","",CadEqu!F420)</f>
        <v/>
      </c>
      <c r="D424" s="97" t="str">
        <f>IF(C424="","",IFERROR(IF(SUMIFS(tbLancamentos[Tempo indisponível],tbLancamentos[Equipamento],$C424,tbLancamentos[Momento da falha],"&gt;="&amp;$C$7,tbLancamentos[Momento da falha],"&lt;="&amp;$D$7)&gt;$E$7,$E$7,SUMIFS(tbLancamentos[Tempo indisponível],tbLancamentos[Equipamento],$C424,tbLancamentos[Momento da falha],"&gt;="&amp;$C$7,tbLancamentos[Momento da falha],"&lt;="&amp;$D$7)),""))</f>
        <v/>
      </c>
      <c r="E424" s="97" t="str">
        <f>IF(C424="","",IFERROR(SUMIFS(tbLancamentos[Meta tempo reparo],tbLancamentos[Equipamento],$C424,tbLancamentos[Momento da falha],"&gt;="&amp;$C$7,tbLancamentos[Momento da falha],"&lt;="&amp;$D$7),""))</f>
        <v/>
      </c>
      <c r="F424" s="97" t="str">
        <f>IF(C424="","",IFERROR(SUMIFS(tbLancamentos[Tempo devido],tbLancamentos[Equipamento],$C424,tbLancamentos[Momento da falha],"&gt;="&amp;$C$7,tbLancamentos[Momento da falha],"&lt;="&amp;$D$7),""))</f>
        <v/>
      </c>
      <c r="G42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4" s="127" t="str">
        <f t="shared" si="8"/>
        <v/>
      </c>
    </row>
    <row r="425" spans="2:9" ht="20.100000000000001" customHeight="1" x14ac:dyDescent="0.25">
      <c r="B425" s="94">
        <f>CadEqu!B421</f>
        <v>415</v>
      </c>
      <c r="C425" s="94" t="str">
        <f>IF(CadEqu!F421="","",CadEqu!F421)</f>
        <v/>
      </c>
      <c r="D425" s="97" t="str">
        <f>IF(C425="","",IFERROR(IF(SUMIFS(tbLancamentos[Tempo indisponível],tbLancamentos[Equipamento],$C425,tbLancamentos[Momento da falha],"&gt;="&amp;$C$7,tbLancamentos[Momento da falha],"&lt;="&amp;$D$7)&gt;$E$7,$E$7,SUMIFS(tbLancamentos[Tempo indisponível],tbLancamentos[Equipamento],$C425,tbLancamentos[Momento da falha],"&gt;="&amp;$C$7,tbLancamentos[Momento da falha],"&lt;="&amp;$D$7)),""))</f>
        <v/>
      </c>
      <c r="E425" s="97" t="str">
        <f>IF(C425="","",IFERROR(SUMIFS(tbLancamentos[Meta tempo reparo],tbLancamentos[Equipamento],$C425,tbLancamentos[Momento da falha],"&gt;="&amp;$C$7,tbLancamentos[Momento da falha],"&lt;="&amp;$D$7),""))</f>
        <v/>
      </c>
      <c r="F425" s="97" t="str">
        <f>IF(C425="","",IFERROR(SUMIFS(tbLancamentos[Tempo devido],tbLancamentos[Equipamento],$C425,tbLancamentos[Momento da falha],"&gt;="&amp;$C$7,tbLancamentos[Momento da falha],"&lt;="&amp;$D$7),""))</f>
        <v/>
      </c>
      <c r="G42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5" s="127" t="str">
        <f t="shared" si="8"/>
        <v/>
      </c>
    </row>
    <row r="426" spans="2:9" ht="20.100000000000001" customHeight="1" x14ac:dyDescent="0.25">
      <c r="B426" s="94">
        <f>CadEqu!B422</f>
        <v>416</v>
      </c>
      <c r="C426" s="94" t="str">
        <f>IF(CadEqu!F422="","",CadEqu!F422)</f>
        <v/>
      </c>
      <c r="D426" s="97" t="str">
        <f>IF(C426="","",IFERROR(IF(SUMIFS(tbLancamentos[Tempo indisponível],tbLancamentos[Equipamento],$C426,tbLancamentos[Momento da falha],"&gt;="&amp;$C$7,tbLancamentos[Momento da falha],"&lt;="&amp;$D$7)&gt;$E$7,$E$7,SUMIFS(tbLancamentos[Tempo indisponível],tbLancamentos[Equipamento],$C426,tbLancamentos[Momento da falha],"&gt;="&amp;$C$7,tbLancamentos[Momento da falha],"&lt;="&amp;$D$7)),""))</f>
        <v/>
      </c>
      <c r="E426" s="97" t="str">
        <f>IF(C426="","",IFERROR(SUMIFS(tbLancamentos[Meta tempo reparo],tbLancamentos[Equipamento],$C426,tbLancamentos[Momento da falha],"&gt;="&amp;$C$7,tbLancamentos[Momento da falha],"&lt;="&amp;$D$7),""))</f>
        <v/>
      </c>
      <c r="F426" s="97" t="str">
        <f>IF(C426="","",IFERROR(SUMIFS(tbLancamentos[Tempo devido],tbLancamentos[Equipamento],$C426,tbLancamentos[Momento da falha],"&gt;="&amp;$C$7,tbLancamentos[Momento da falha],"&lt;="&amp;$D$7),""))</f>
        <v/>
      </c>
      <c r="G42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6" s="127" t="str">
        <f t="shared" si="8"/>
        <v/>
      </c>
    </row>
    <row r="427" spans="2:9" ht="20.100000000000001" customHeight="1" x14ac:dyDescent="0.25">
      <c r="B427" s="94">
        <f>CadEqu!B423</f>
        <v>417</v>
      </c>
      <c r="C427" s="94" t="str">
        <f>IF(CadEqu!F423="","",CadEqu!F423)</f>
        <v/>
      </c>
      <c r="D427" s="97" t="str">
        <f>IF(C427="","",IFERROR(IF(SUMIFS(tbLancamentos[Tempo indisponível],tbLancamentos[Equipamento],$C427,tbLancamentos[Momento da falha],"&gt;="&amp;$C$7,tbLancamentos[Momento da falha],"&lt;="&amp;$D$7)&gt;$E$7,$E$7,SUMIFS(tbLancamentos[Tempo indisponível],tbLancamentos[Equipamento],$C427,tbLancamentos[Momento da falha],"&gt;="&amp;$C$7,tbLancamentos[Momento da falha],"&lt;="&amp;$D$7)),""))</f>
        <v/>
      </c>
      <c r="E427" s="97" t="str">
        <f>IF(C427="","",IFERROR(SUMIFS(tbLancamentos[Meta tempo reparo],tbLancamentos[Equipamento],$C427,tbLancamentos[Momento da falha],"&gt;="&amp;$C$7,tbLancamentos[Momento da falha],"&lt;="&amp;$D$7),""))</f>
        <v/>
      </c>
      <c r="F427" s="97" t="str">
        <f>IF(C427="","",IFERROR(SUMIFS(tbLancamentos[Tempo devido],tbLancamentos[Equipamento],$C427,tbLancamentos[Momento da falha],"&gt;="&amp;$C$7,tbLancamentos[Momento da falha],"&lt;="&amp;$D$7),""))</f>
        <v/>
      </c>
      <c r="G42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7" s="127" t="str">
        <f t="shared" si="8"/>
        <v/>
      </c>
    </row>
    <row r="428" spans="2:9" ht="20.100000000000001" customHeight="1" x14ac:dyDescent="0.25">
      <c r="B428" s="94">
        <f>CadEqu!B424</f>
        <v>418</v>
      </c>
      <c r="C428" s="94" t="str">
        <f>IF(CadEqu!F424="","",CadEqu!F424)</f>
        <v/>
      </c>
      <c r="D428" s="97" t="str">
        <f>IF(C428="","",IFERROR(IF(SUMIFS(tbLancamentos[Tempo indisponível],tbLancamentos[Equipamento],$C428,tbLancamentos[Momento da falha],"&gt;="&amp;$C$7,tbLancamentos[Momento da falha],"&lt;="&amp;$D$7)&gt;$E$7,$E$7,SUMIFS(tbLancamentos[Tempo indisponível],tbLancamentos[Equipamento],$C428,tbLancamentos[Momento da falha],"&gt;="&amp;$C$7,tbLancamentos[Momento da falha],"&lt;="&amp;$D$7)),""))</f>
        <v/>
      </c>
      <c r="E428" s="97" t="str">
        <f>IF(C428="","",IFERROR(SUMIFS(tbLancamentos[Meta tempo reparo],tbLancamentos[Equipamento],$C428,tbLancamentos[Momento da falha],"&gt;="&amp;$C$7,tbLancamentos[Momento da falha],"&lt;="&amp;$D$7),""))</f>
        <v/>
      </c>
      <c r="F428" s="97" t="str">
        <f>IF(C428="","",IFERROR(SUMIFS(tbLancamentos[Tempo devido],tbLancamentos[Equipamento],$C428,tbLancamentos[Momento da falha],"&gt;="&amp;$C$7,tbLancamentos[Momento da falha],"&lt;="&amp;$D$7),""))</f>
        <v/>
      </c>
      <c r="G42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8" s="127" t="str">
        <f t="shared" si="8"/>
        <v/>
      </c>
    </row>
    <row r="429" spans="2:9" ht="20.100000000000001" customHeight="1" x14ac:dyDescent="0.25">
      <c r="B429" s="94">
        <f>CadEqu!B425</f>
        <v>419</v>
      </c>
      <c r="C429" s="94" t="str">
        <f>IF(CadEqu!F425="","",CadEqu!F425)</f>
        <v/>
      </c>
      <c r="D429" s="97" t="str">
        <f>IF(C429="","",IFERROR(IF(SUMIFS(tbLancamentos[Tempo indisponível],tbLancamentos[Equipamento],$C429,tbLancamentos[Momento da falha],"&gt;="&amp;$C$7,tbLancamentos[Momento da falha],"&lt;="&amp;$D$7)&gt;$E$7,$E$7,SUMIFS(tbLancamentos[Tempo indisponível],tbLancamentos[Equipamento],$C429,tbLancamentos[Momento da falha],"&gt;="&amp;$C$7,tbLancamentos[Momento da falha],"&lt;="&amp;$D$7)),""))</f>
        <v/>
      </c>
      <c r="E429" s="97" t="str">
        <f>IF(C429="","",IFERROR(SUMIFS(tbLancamentos[Meta tempo reparo],tbLancamentos[Equipamento],$C429,tbLancamentos[Momento da falha],"&gt;="&amp;$C$7,tbLancamentos[Momento da falha],"&lt;="&amp;$D$7),""))</f>
        <v/>
      </c>
      <c r="F429" s="97" t="str">
        <f>IF(C429="","",IFERROR(SUMIFS(tbLancamentos[Tempo devido],tbLancamentos[Equipamento],$C429,tbLancamentos[Momento da falha],"&gt;="&amp;$C$7,tbLancamentos[Momento da falha],"&lt;="&amp;$D$7),""))</f>
        <v/>
      </c>
      <c r="G42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2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29" s="127" t="str">
        <f t="shared" si="8"/>
        <v/>
      </c>
    </row>
    <row r="430" spans="2:9" ht="20.100000000000001" customHeight="1" x14ac:dyDescent="0.25">
      <c r="B430" s="94">
        <f>CadEqu!B426</f>
        <v>420</v>
      </c>
      <c r="C430" s="94" t="str">
        <f>IF(CadEqu!F426="","",CadEqu!F426)</f>
        <v/>
      </c>
      <c r="D430" s="97" t="str">
        <f>IF(C430="","",IFERROR(IF(SUMIFS(tbLancamentos[Tempo indisponível],tbLancamentos[Equipamento],$C430,tbLancamentos[Momento da falha],"&gt;="&amp;$C$7,tbLancamentos[Momento da falha],"&lt;="&amp;$D$7)&gt;$E$7,$E$7,SUMIFS(tbLancamentos[Tempo indisponível],tbLancamentos[Equipamento],$C430,tbLancamentos[Momento da falha],"&gt;="&amp;$C$7,tbLancamentos[Momento da falha],"&lt;="&amp;$D$7)),""))</f>
        <v/>
      </c>
      <c r="E430" s="97" t="str">
        <f>IF(C430="","",IFERROR(SUMIFS(tbLancamentos[Meta tempo reparo],tbLancamentos[Equipamento],$C430,tbLancamentos[Momento da falha],"&gt;="&amp;$C$7,tbLancamentos[Momento da falha],"&lt;="&amp;$D$7),""))</f>
        <v/>
      </c>
      <c r="F430" s="97" t="str">
        <f>IF(C430="","",IFERROR(SUMIFS(tbLancamentos[Tempo devido],tbLancamentos[Equipamento],$C430,tbLancamentos[Momento da falha],"&gt;="&amp;$C$7,tbLancamentos[Momento da falha],"&lt;="&amp;$D$7),""))</f>
        <v/>
      </c>
      <c r="G43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0" s="127" t="str">
        <f t="shared" si="8"/>
        <v/>
      </c>
    </row>
    <row r="431" spans="2:9" ht="20.100000000000001" customHeight="1" x14ac:dyDescent="0.25">
      <c r="B431" s="94">
        <f>CadEqu!B427</f>
        <v>421</v>
      </c>
      <c r="C431" s="94" t="str">
        <f>IF(CadEqu!F427="","",CadEqu!F427)</f>
        <v/>
      </c>
      <c r="D431" s="97" t="str">
        <f>IF(C431="","",IFERROR(IF(SUMIFS(tbLancamentos[Tempo indisponível],tbLancamentos[Equipamento],$C431,tbLancamentos[Momento da falha],"&gt;="&amp;$C$7,tbLancamentos[Momento da falha],"&lt;="&amp;$D$7)&gt;$E$7,$E$7,SUMIFS(tbLancamentos[Tempo indisponível],tbLancamentos[Equipamento],$C431,tbLancamentos[Momento da falha],"&gt;="&amp;$C$7,tbLancamentos[Momento da falha],"&lt;="&amp;$D$7)),""))</f>
        <v/>
      </c>
      <c r="E431" s="97" t="str">
        <f>IF(C431="","",IFERROR(SUMIFS(tbLancamentos[Meta tempo reparo],tbLancamentos[Equipamento],$C431,tbLancamentos[Momento da falha],"&gt;="&amp;$C$7,tbLancamentos[Momento da falha],"&lt;="&amp;$D$7),""))</f>
        <v/>
      </c>
      <c r="F431" s="97" t="str">
        <f>IF(C431="","",IFERROR(SUMIFS(tbLancamentos[Tempo devido],tbLancamentos[Equipamento],$C431,tbLancamentos[Momento da falha],"&gt;="&amp;$C$7,tbLancamentos[Momento da falha],"&lt;="&amp;$D$7),""))</f>
        <v/>
      </c>
      <c r="G43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1" s="127" t="str">
        <f t="shared" si="8"/>
        <v/>
      </c>
    </row>
    <row r="432" spans="2:9" ht="20.100000000000001" customHeight="1" x14ac:dyDescent="0.25">
      <c r="B432" s="94">
        <f>CadEqu!B428</f>
        <v>422</v>
      </c>
      <c r="C432" s="94" t="str">
        <f>IF(CadEqu!F428="","",CadEqu!F428)</f>
        <v/>
      </c>
      <c r="D432" s="97" t="str">
        <f>IF(C432="","",IFERROR(IF(SUMIFS(tbLancamentos[Tempo indisponível],tbLancamentos[Equipamento],$C432,tbLancamentos[Momento da falha],"&gt;="&amp;$C$7,tbLancamentos[Momento da falha],"&lt;="&amp;$D$7)&gt;$E$7,$E$7,SUMIFS(tbLancamentos[Tempo indisponível],tbLancamentos[Equipamento],$C432,tbLancamentos[Momento da falha],"&gt;="&amp;$C$7,tbLancamentos[Momento da falha],"&lt;="&amp;$D$7)),""))</f>
        <v/>
      </c>
      <c r="E432" s="97" t="str">
        <f>IF(C432="","",IFERROR(SUMIFS(tbLancamentos[Meta tempo reparo],tbLancamentos[Equipamento],$C432,tbLancamentos[Momento da falha],"&gt;="&amp;$C$7,tbLancamentos[Momento da falha],"&lt;="&amp;$D$7),""))</f>
        <v/>
      </c>
      <c r="F432" s="97" t="str">
        <f>IF(C432="","",IFERROR(SUMIFS(tbLancamentos[Tempo devido],tbLancamentos[Equipamento],$C432,tbLancamentos[Momento da falha],"&gt;="&amp;$C$7,tbLancamentos[Momento da falha],"&lt;="&amp;$D$7),""))</f>
        <v/>
      </c>
      <c r="G43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2" s="127" t="str">
        <f t="shared" si="8"/>
        <v/>
      </c>
    </row>
    <row r="433" spans="2:9" ht="20.100000000000001" customHeight="1" x14ac:dyDescent="0.25">
      <c r="B433" s="94">
        <f>CadEqu!B429</f>
        <v>423</v>
      </c>
      <c r="C433" s="94" t="str">
        <f>IF(CadEqu!F429="","",CadEqu!F429)</f>
        <v/>
      </c>
      <c r="D433" s="97" t="str">
        <f>IF(C433="","",IFERROR(IF(SUMIFS(tbLancamentos[Tempo indisponível],tbLancamentos[Equipamento],$C433,tbLancamentos[Momento da falha],"&gt;="&amp;$C$7,tbLancamentos[Momento da falha],"&lt;="&amp;$D$7)&gt;$E$7,$E$7,SUMIFS(tbLancamentos[Tempo indisponível],tbLancamentos[Equipamento],$C433,tbLancamentos[Momento da falha],"&gt;="&amp;$C$7,tbLancamentos[Momento da falha],"&lt;="&amp;$D$7)),""))</f>
        <v/>
      </c>
      <c r="E433" s="97" t="str">
        <f>IF(C433="","",IFERROR(SUMIFS(tbLancamentos[Meta tempo reparo],tbLancamentos[Equipamento],$C433,tbLancamentos[Momento da falha],"&gt;="&amp;$C$7,tbLancamentos[Momento da falha],"&lt;="&amp;$D$7),""))</f>
        <v/>
      </c>
      <c r="F433" s="97" t="str">
        <f>IF(C433="","",IFERROR(SUMIFS(tbLancamentos[Tempo devido],tbLancamentos[Equipamento],$C433,tbLancamentos[Momento da falha],"&gt;="&amp;$C$7,tbLancamentos[Momento da falha],"&lt;="&amp;$D$7),""))</f>
        <v/>
      </c>
      <c r="G43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3" s="127" t="str">
        <f t="shared" si="8"/>
        <v/>
      </c>
    </row>
    <row r="434" spans="2:9" ht="20.100000000000001" customHeight="1" x14ac:dyDescent="0.25">
      <c r="B434" s="94">
        <f>CadEqu!B430</f>
        <v>424</v>
      </c>
      <c r="C434" s="94" t="str">
        <f>IF(CadEqu!F430="","",CadEqu!F430)</f>
        <v/>
      </c>
      <c r="D434" s="97" t="str">
        <f>IF(C434="","",IFERROR(IF(SUMIFS(tbLancamentos[Tempo indisponível],tbLancamentos[Equipamento],$C434,tbLancamentos[Momento da falha],"&gt;="&amp;$C$7,tbLancamentos[Momento da falha],"&lt;="&amp;$D$7)&gt;$E$7,$E$7,SUMIFS(tbLancamentos[Tempo indisponível],tbLancamentos[Equipamento],$C434,tbLancamentos[Momento da falha],"&gt;="&amp;$C$7,tbLancamentos[Momento da falha],"&lt;="&amp;$D$7)),""))</f>
        <v/>
      </c>
      <c r="E434" s="97" t="str">
        <f>IF(C434="","",IFERROR(SUMIFS(tbLancamentos[Meta tempo reparo],tbLancamentos[Equipamento],$C434,tbLancamentos[Momento da falha],"&gt;="&amp;$C$7,tbLancamentos[Momento da falha],"&lt;="&amp;$D$7),""))</f>
        <v/>
      </c>
      <c r="F434" s="97" t="str">
        <f>IF(C434="","",IFERROR(SUMIFS(tbLancamentos[Tempo devido],tbLancamentos[Equipamento],$C434,tbLancamentos[Momento da falha],"&gt;="&amp;$C$7,tbLancamentos[Momento da falha],"&lt;="&amp;$D$7),""))</f>
        <v/>
      </c>
      <c r="G43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4" s="127" t="str">
        <f t="shared" si="8"/>
        <v/>
      </c>
    </row>
    <row r="435" spans="2:9" ht="20.100000000000001" customHeight="1" x14ac:dyDescent="0.25">
      <c r="B435" s="94">
        <f>CadEqu!B431</f>
        <v>425</v>
      </c>
      <c r="C435" s="94" t="str">
        <f>IF(CadEqu!F431="","",CadEqu!F431)</f>
        <v/>
      </c>
      <c r="D435" s="97" t="str">
        <f>IF(C435="","",IFERROR(IF(SUMIFS(tbLancamentos[Tempo indisponível],tbLancamentos[Equipamento],$C435,tbLancamentos[Momento da falha],"&gt;="&amp;$C$7,tbLancamentos[Momento da falha],"&lt;="&amp;$D$7)&gt;$E$7,$E$7,SUMIFS(tbLancamentos[Tempo indisponível],tbLancamentos[Equipamento],$C435,tbLancamentos[Momento da falha],"&gt;="&amp;$C$7,tbLancamentos[Momento da falha],"&lt;="&amp;$D$7)),""))</f>
        <v/>
      </c>
      <c r="E435" s="97" t="str">
        <f>IF(C435="","",IFERROR(SUMIFS(tbLancamentos[Meta tempo reparo],tbLancamentos[Equipamento],$C435,tbLancamentos[Momento da falha],"&gt;="&amp;$C$7,tbLancamentos[Momento da falha],"&lt;="&amp;$D$7),""))</f>
        <v/>
      </c>
      <c r="F435" s="97" t="str">
        <f>IF(C435="","",IFERROR(SUMIFS(tbLancamentos[Tempo devido],tbLancamentos[Equipamento],$C435,tbLancamentos[Momento da falha],"&gt;="&amp;$C$7,tbLancamentos[Momento da falha],"&lt;="&amp;$D$7),""))</f>
        <v/>
      </c>
      <c r="G43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5" s="127" t="str">
        <f t="shared" si="8"/>
        <v/>
      </c>
    </row>
    <row r="436" spans="2:9" ht="20.100000000000001" customHeight="1" x14ac:dyDescent="0.25">
      <c r="B436" s="94">
        <f>CadEqu!B432</f>
        <v>426</v>
      </c>
      <c r="C436" s="94" t="str">
        <f>IF(CadEqu!F432="","",CadEqu!F432)</f>
        <v/>
      </c>
      <c r="D436" s="97" t="str">
        <f>IF(C436="","",IFERROR(IF(SUMIFS(tbLancamentos[Tempo indisponível],tbLancamentos[Equipamento],$C436,tbLancamentos[Momento da falha],"&gt;="&amp;$C$7,tbLancamentos[Momento da falha],"&lt;="&amp;$D$7)&gt;$E$7,$E$7,SUMIFS(tbLancamentos[Tempo indisponível],tbLancamentos[Equipamento],$C436,tbLancamentos[Momento da falha],"&gt;="&amp;$C$7,tbLancamentos[Momento da falha],"&lt;="&amp;$D$7)),""))</f>
        <v/>
      </c>
      <c r="E436" s="97" t="str">
        <f>IF(C436="","",IFERROR(SUMIFS(tbLancamentos[Meta tempo reparo],tbLancamentos[Equipamento],$C436,tbLancamentos[Momento da falha],"&gt;="&amp;$C$7,tbLancamentos[Momento da falha],"&lt;="&amp;$D$7),""))</f>
        <v/>
      </c>
      <c r="F436" s="97" t="str">
        <f>IF(C436="","",IFERROR(SUMIFS(tbLancamentos[Tempo devido],tbLancamentos[Equipamento],$C436,tbLancamentos[Momento da falha],"&gt;="&amp;$C$7,tbLancamentos[Momento da falha],"&lt;="&amp;$D$7),""))</f>
        <v/>
      </c>
      <c r="G43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6" s="127" t="str">
        <f t="shared" si="8"/>
        <v/>
      </c>
    </row>
    <row r="437" spans="2:9" ht="20.100000000000001" customHeight="1" x14ac:dyDescent="0.25">
      <c r="B437" s="94">
        <f>CadEqu!B433</f>
        <v>427</v>
      </c>
      <c r="C437" s="94" t="str">
        <f>IF(CadEqu!F433="","",CadEqu!F433)</f>
        <v/>
      </c>
      <c r="D437" s="97" t="str">
        <f>IF(C437="","",IFERROR(IF(SUMIFS(tbLancamentos[Tempo indisponível],tbLancamentos[Equipamento],$C437,tbLancamentos[Momento da falha],"&gt;="&amp;$C$7,tbLancamentos[Momento da falha],"&lt;="&amp;$D$7)&gt;$E$7,$E$7,SUMIFS(tbLancamentos[Tempo indisponível],tbLancamentos[Equipamento],$C437,tbLancamentos[Momento da falha],"&gt;="&amp;$C$7,tbLancamentos[Momento da falha],"&lt;="&amp;$D$7)),""))</f>
        <v/>
      </c>
      <c r="E437" s="97" t="str">
        <f>IF(C437="","",IFERROR(SUMIFS(tbLancamentos[Meta tempo reparo],tbLancamentos[Equipamento],$C437,tbLancamentos[Momento da falha],"&gt;="&amp;$C$7,tbLancamentos[Momento da falha],"&lt;="&amp;$D$7),""))</f>
        <v/>
      </c>
      <c r="F437" s="97" t="str">
        <f>IF(C437="","",IFERROR(SUMIFS(tbLancamentos[Tempo devido],tbLancamentos[Equipamento],$C437,tbLancamentos[Momento da falha],"&gt;="&amp;$C$7,tbLancamentos[Momento da falha],"&lt;="&amp;$D$7),""))</f>
        <v/>
      </c>
      <c r="G43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7" s="127" t="str">
        <f t="shared" si="8"/>
        <v/>
      </c>
    </row>
    <row r="438" spans="2:9" ht="20.100000000000001" customHeight="1" x14ac:dyDescent="0.25">
      <c r="B438" s="94">
        <f>CadEqu!B434</f>
        <v>428</v>
      </c>
      <c r="C438" s="94" t="str">
        <f>IF(CadEqu!F434="","",CadEqu!F434)</f>
        <v/>
      </c>
      <c r="D438" s="97" t="str">
        <f>IF(C438="","",IFERROR(IF(SUMIFS(tbLancamentos[Tempo indisponível],tbLancamentos[Equipamento],$C438,tbLancamentos[Momento da falha],"&gt;="&amp;$C$7,tbLancamentos[Momento da falha],"&lt;="&amp;$D$7)&gt;$E$7,$E$7,SUMIFS(tbLancamentos[Tempo indisponível],tbLancamentos[Equipamento],$C438,tbLancamentos[Momento da falha],"&gt;="&amp;$C$7,tbLancamentos[Momento da falha],"&lt;="&amp;$D$7)),""))</f>
        <v/>
      </c>
      <c r="E438" s="97" t="str">
        <f>IF(C438="","",IFERROR(SUMIFS(tbLancamentos[Meta tempo reparo],tbLancamentos[Equipamento],$C438,tbLancamentos[Momento da falha],"&gt;="&amp;$C$7,tbLancamentos[Momento da falha],"&lt;="&amp;$D$7),""))</f>
        <v/>
      </c>
      <c r="F438" s="97" t="str">
        <f>IF(C438="","",IFERROR(SUMIFS(tbLancamentos[Tempo devido],tbLancamentos[Equipamento],$C438,tbLancamentos[Momento da falha],"&gt;="&amp;$C$7,tbLancamentos[Momento da falha],"&lt;="&amp;$D$7),""))</f>
        <v/>
      </c>
      <c r="G43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8" s="127" t="str">
        <f t="shared" si="8"/>
        <v/>
      </c>
    </row>
    <row r="439" spans="2:9" ht="20.100000000000001" customHeight="1" x14ac:dyDescent="0.25">
      <c r="B439" s="94">
        <f>CadEqu!B435</f>
        <v>429</v>
      </c>
      <c r="C439" s="94" t="str">
        <f>IF(CadEqu!F435="","",CadEqu!F435)</f>
        <v/>
      </c>
      <c r="D439" s="97" t="str">
        <f>IF(C439="","",IFERROR(IF(SUMIFS(tbLancamentos[Tempo indisponível],tbLancamentos[Equipamento],$C439,tbLancamentos[Momento da falha],"&gt;="&amp;$C$7,tbLancamentos[Momento da falha],"&lt;="&amp;$D$7)&gt;$E$7,$E$7,SUMIFS(tbLancamentos[Tempo indisponível],tbLancamentos[Equipamento],$C439,tbLancamentos[Momento da falha],"&gt;="&amp;$C$7,tbLancamentos[Momento da falha],"&lt;="&amp;$D$7)),""))</f>
        <v/>
      </c>
      <c r="E439" s="97" t="str">
        <f>IF(C439="","",IFERROR(SUMIFS(tbLancamentos[Meta tempo reparo],tbLancamentos[Equipamento],$C439,tbLancamentos[Momento da falha],"&gt;="&amp;$C$7,tbLancamentos[Momento da falha],"&lt;="&amp;$D$7),""))</f>
        <v/>
      </c>
      <c r="F439" s="97" t="str">
        <f>IF(C439="","",IFERROR(SUMIFS(tbLancamentos[Tempo devido],tbLancamentos[Equipamento],$C439,tbLancamentos[Momento da falha],"&gt;="&amp;$C$7,tbLancamentos[Momento da falha],"&lt;="&amp;$D$7),""))</f>
        <v/>
      </c>
      <c r="G43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3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39" s="127" t="str">
        <f t="shared" si="8"/>
        <v/>
      </c>
    </row>
    <row r="440" spans="2:9" ht="20.100000000000001" customHeight="1" x14ac:dyDescent="0.25">
      <c r="B440" s="94">
        <f>CadEqu!B436</f>
        <v>430</v>
      </c>
      <c r="C440" s="94" t="str">
        <f>IF(CadEqu!F436="","",CadEqu!F436)</f>
        <v/>
      </c>
      <c r="D440" s="97" t="str">
        <f>IF(C440="","",IFERROR(IF(SUMIFS(tbLancamentos[Tempo indisponível],tbLancamentos[Equipamento],$C440,tbLancamentos[Momento da falha],"&gt;="&amp;$C$7,tbLancamentos[Momento da falha],"&lt;="&amp;$D$7)&gt;$E$7,$E$7,SUMIFS(tbLancamentos[Tempo indisponível],tbLancamentos[Equipamento],$C440,tbLancamentos[Momento da falha],"&gt;="&amp;$C$7,tbLancamentos[Momento da falha],"&lt;="&amp;$D$7)),""))</f>
        <v/>
      </c>
      <c r="E440" s="97" t="str">
        <f>IF(C440="","",IFERROR(SUMIFS(tbLancamentos[Meta tempo reparo],tbLancamentos[Equipamento],$C440,tbLancamentos[Momento da falha],"&gt;="&amp;$C$7,tbLancamentos[Momento da falha],"&lt;="&amp;$D$7),""))</f>
        <v/>
      </c>
      <c r="F440" s="97" t="str">
        <f>IF(C440="","",IFERROR(SUMIFS(tbLancamentos[Tempo devido],tbLancamentos[Equipamento],$C440,tbLancamentos[Momento da falha],"&gt;="&amp;$C$7,tbLancamentos[Momento da falha],"&lt;="&amp;$D$7),""))</f>
        <v/>
      </c>
      <c r="G44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0" s="127" t="str">
        <f t="shared" si="8"/>
        <v/>
      </c>
    </row>
    <row r="441" spans="2:9" ht="20.100000000000001" customHeight="1" x14ac:dyDescent="0.25">
      <c r="B441" s="94">
        <f>CadEqu!B437</f>
        <v>431</v>
      </c>
      <c r="C441" s="94" t="str">
        <f>IF(CadEqu!F437="","",CadEqu!F437)</f>
        <v/>
      </c>
      <c r="D441" s="97" t="str">
        <f>IF(C441="","",IFERROR(IF(SUMIFS(tbLancamentos[Tempo indisponível],tbLancamentos[Equipamento],$C441,tbLancamentos[Momento da falha],"&gt;="&amp;$C$7,tbLancamentos[Momento da falha],"&lt;="&amp;$D$7)&gt;$E$7,$E$7,SUMIFS(tbLancamentos[Tempo indisponível],tbLancamentos[Equipamento],$C441,tbLancamentos[Momento da falha],"&gt;="&amp;$C$7,tbLancamentos[Momento da falha],"&lt;="&amp;$D$7)),""))</f>
        <v/>
      </c>
      <c r="E441" s="97" t="str">
        <f>IF(C441="","",IFERROR(SUMIFS(tbLancamentos[Meta tempo reparo],tbLancamentos[Equipamento],$C441,tbLancamentos[Momento da falha],"&gt;="&amp;$C$7,tbLancamentos[Momento da falha],"&lt;="&amp;$D$7),""))</f>
        <v/>
      </c>
      <c r="F441" s="97" t="str">
        <f>IF(C441="","",IFERROR(SUMIFS(tbLancamentos[Tempo devido],tbLancamentos[Equipamento],$C441,tbLancamentos[Momento da falha],"&gt;="&amp;$C$7,tbLancamentos[Momento da falha],"&lt;="&amp;$D$7),""))</f>
        <v/>
      </c>
      <c r="G44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1" s="127" t="str">
        <f t="shared" si="8"/>
        <v/>
      </c>
    </row>
    <row r="442" spans="2:9" ht="20.100000000000001" customHeight="1" x14ac:dyDescent="0.25">
      <c r="B442" s="94">
        <f>CadEqu!B438</f>
        <v>432</v>
      </c>
      <c r="C442" s="94" t="str">
        <f>IF(CadEqu!F438="","",CadEqu!F438)</f>
        <v/>
      </c>
      <c r="D442" s="97" t="str">
        <f>IF(C442="","",IFERROR(IF(SUMIFS(tbLancamentos[Tempo indisponível],tbLancamentos[Equipamento],$C442,tbLancamentos[Momento da falha],"&gt;="&amp;$C$7,tbLancamentos[Momento da falha],"&lt;="&amp;$D$7)&gt;$E$7,$E$7,SUMIFS(tbLancamentos[Tempo indisponível],tbLancamentos[Equipamento],$C442,tbLancamentos[Momento da falha],"&gt;="&amp;$C$7,tbLancamentos[Momento da falha],"&lt;="&amp;$D$7)),""))</f>
        <v/>
      </c>
      <c r="E442" s="97" t="str">
        <f>IF(C442="","",IFERROR(SUMIFS(tbLancamentos[Meta tempo reparo],tbLancamentos[Equipamento],$C442,tbLancamentos[Momento da falha],"&gt;="&amp;$C$7,tbLancamentos[Momento da falha],"&lt;="&amp;$D$7),""))</f>
        <v/>
      </c>
      <c r="F442" s="97" t="str">
        <f>IF(C442="","",IFERROR(SUMIFS(tbLancamentos[Tempo devido],tbLancamentos[Equipamento],$C442,tbLancamentos[Momento da falha],"&gt;="&amp;$C$7,tbLancamentos[Momento da falha],"&lt;="&amp;$D$7),""))</f>
        <v/>
      </c>
      <c r="G44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2" s="127" t="str">
        <f t="shared" si="8"/>
        <v/>
      </c>
    </row>
    <row r="443" spans="2:9" ht="20.100000000000001" customHeight="1" x14ac:dyDescent="0.25">
      <c r="B443" s="94">
        <f>CadEqu!B439</f>
        <v>433</v>
      </c>
      <c r="C443" s="94" t="str">
        <f>IF(CadEqu!F439="","",CadEqu!F439)</f>
        <v/>
      </c>
      <c r="D443" s="97" t="str">
        <f>IF(C443="","",IFERROR(IF(SUMIFS(tbLancamentos[Tempo indisponível],tbLancamentos[Equipamento],$C443,tbLancamentos[Momento da falha],"&gt;="&amp;$C$7,tbLancamentos[Momento da falha],"&lt;="&amp;$D$7)&gt;$E$7,$E$7,SUMIFS(tbLancamentos[Tempo indisponível],tbLancamentos[Equipamento],$C443,tbLancamentos[Momento da falha],"&gt;="&amp;$C$7,tbLancamentos[Momento da falha],"&lt;="&amp;$D$7)),""))</f>
        <v/>
      </c>
      <c r="E443" s="97" t="str">
        <f>IF(C443="","",IFERROR(SUMIFS(tbLancamentos[Meta tempo reparo],tbLancamentos[Equipamento],$C443,tbLancamentos[Momento da falha],"&gt;="&amp;$C$7,tbLancamentos[Momento da falha],"&lt;="&amp;$D$7),""))</f>
        <v/>
      </c>
      <c r="F443" s="97" t="str">
        <f>IF(C443="","",IFERROR(SUMIFS(tbLancamentos[Tempo devido],tbLancamentos[Equipamento],$C443,tbLancamentos[Momento da falha],"&gt;="&amp;$C$7,tbLancamentos[Momento da falha],"&lt;="&amp;$D$7),""))</f>
        <v/>
      </c>
      <c r="G44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3" s="127" t="str">
        <f t="shared" si="8"/>
        <v/>
      </c>
    </row>
    <row r="444" spans="2:9" ht="20.100000000000001" customHeight="1" x14ac:dyDescent="0.25">
      <c r="B444" s="94">
        <f>CadEqu!B440</f>
        <v>434</v>
      </c>
      <c r="C444" s="94" t="str">
        <f>IF(CadEqu!F440="","",CadEqu!F440)</f>
        <v/>
      </c>
      <c r="D444" s="97" t="str">
        <f>IF(C444="","",IFERROR(IF(SUMIFS(tbLancamentos[Tempo indisponível],tbLancamentos[Equipamento],$C444,tbLancamentos[Momento da falha],"&gt;="&amp;$C$7,tbLancamentos[Momento da falha],"&lt;="&amp;$D$7)&gt;$E$7,$E$7,SUMIFS(tbLancamentos[Tempo indisponível],tbLancamentos[Equipamento],$C444,tbLancamentos[Momento da falha],"&gt;="&amp;$C$7,tbLancamentos[Momento da falha],"&lt;="&amp;$D$7)),""))</f>
        <v/>
      </c>
      <c r="E444" s="97" t="str">
        <f>IF(C444="","",IFERROR(SUMIFS(tbLancamentos[Meta tempo reparo],tbLancamentos[Equipamento],$C444,tbLancamentos[Momento da falha],"&gt;="&amp;$C$7,tbLancamentos[Momento da falha],"&lt;="&amp;$D$7),""))</f>
        <v/>
      </c>
      <c r="F444" s="97" t="str">
        <f>IF(C444="","",IFERROR(SUMIFS(tbLancamentos[Tempo devido],tbLancamentos[Equipamento],$C444,tbLancamentos[Momento da falha],"&gt;="&amp;$C$7,tbLancamentos[Momento da falha],"&lt;="&amp;$D$7),""))</f>
        <v/>
      </c>
      <c r="G44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4" s="127" t="str">
        <f t="shared" si="8"/>
        <v/>
      </c>
    </row>
    <row r="445" spans="2:9" ht="20.100000000000001" customHeight="1" x14ac:dyDescent="0.25">
      <c r="B445" s="94">
        <f>CadEqu!B441</f>
        <v>435</v>
      </c>
      <c r="C445" s="94" t="str">
        <f>IF(CadEqu!F441="","",CadEqu!F441)</f>
        <v/>
      </c>
      <c r="D445" s="97" t="str">
        <f>IF(C445="","",IFERROR(IF(SUMIFS(tbLancamentos[Tempo indisponível],tbLancamentos[Equipamento],$C445,tbLancamentos[Momento da falha],"&gt;="&amp;$C$7,tbLancamentos[Momento da falha],"&lt;="&amp;$D$7)&gt;$E$7,$E$7,SUMIFS(tbLancamentos[Tempo indisponível],tbLancamentos[Equipamento],$C445,tbLancamentos[Momento da falha],"&gt;="&amp;$C$7,tbLancamentos[Momento da falha],"&lt;="&amp;$D$7)),""))</f>
        <v/>
      </c>
      <c r="E445" s="97" t="str">
        <f>IF(C445="","",IFERROR(SUMIFS(tbLancamentos[Meta tempo reparo],tbLancamentos[Equipamento],$C445,tbLancamentos[Momento da falha],"&gt;="&amp;$C$7,tbLancamentos[Momento da falha],"&lt;="&amp;$D$7),""))</f>
        <v/>
      </c>
      <c r="F445" s="97" t="str">
        <f>IF(C445="","",IFERROR(SUMIFS(tbLancamentos[Tempo devido],tbLancamentos[Equipamento],$C445,tbLancamentos[Momento da falha],"&gt;="&amp;$C$7,tbLancamentos[Momento da falha],"&lt;="&amp;$D$7),""))</f>
        <v/>
      </c>
      <c r="G44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5" s="127" t="str">
        <f t="shared" si="8"/>
        <v/>
      </c>
    </row>
    <row r="446" spans="2:9" ht="20.100000000000001" customHeight="1" x14ac:dyDescent="0.25">
      <c r="B446" s="94">
        <f>CadEqu!B442</f>
        <v>436</v>
      </c>
      <c r="C446" s="94" t="str">
        <f>IF(CadEqu!F442="","",CadEqu!F442)</f>
        <v/>
      </c>
      <c r="D446" s="97" t="str">
        <f>IF(C446="","",IFERROR(IF(SUMIFS(tbLancamentos[Tempo indisponível],tbLancamentos[Equipamento],$C446,tbLancamentos[Momento da falha],"&gt;="&amp;$C$7,tbLancamentos[Momento da falha],"&lt;="&amp;$D$7)&gt;$E$7,$E$7,SUMIFS(tbLancamentos[Tempo indisponível],tbLancamentos[Equipamento],$C446,tbLancamentos[Momento da falha],"&gt;="&amp;$C$7,tbLancamentos[Momento da falha],"&lt;="&amp;$D$7)),""))</f>
        <v/>
      </c>
      <c r="E446" s="97" t="str">
        <f>IF(C446="","",IFERROR(SUMIFS(tbLancamentos[Meta tempo reparo],tbLancamentos[Equipamento],$C446,tbLancamentos[Momento da falha],"&gt;="&amp;$C$7,tbLancamentos[Momento da falha],"&lt;="&amp;$D$7),""))</f>
        <v/>
      </c>
      <c r="F446" s="97" t="str">
        <f>IF(C446="","",IFERROR(SUMIFS(tbLancamentos[Tempo devido],tbLancamentos[Equipamento],$C446,tbLancamentos[Momento da falha],"&gt;="&amp;$C$7,tbLancamentos[Momento da falha],"&lt;="&amp;$D$7),""))</f>
        <v/>
      </c>
      <c r="G44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6" s="127" t="str">
        <f t="shared" si="8"/>
        <v/>
      </c>
    </row>
    <row r="447" spans="2:9" ht="20.100000000000001" customHeight="1" x14ac:dyDescent="0.25">
      <c r="B447" s="94">
        <f>CadEqu!B443</f>
        <v>437</v>
      </c>
      <c r="C447" s="94" t="str">
        <f>IF(CadEqu!F443="","",CadEqu!F443)</f>
        <v/>
      </c>
      <c r="D447" s="97" t="str">
        <f>IF(C447="","",IFERROR(IF(SUMIFS(tbLancamentos[Tempo indisponível],tbLancamentos[Equipamento],$C447,tbLancamentos[Momento da falha],"&gt;="&amp;$C$7,tbLancamentos[Momento da falha],"&lt;="&amp;$D$7)&gt;$E$7,$E$7,SUMIFS(tbLancamentos[Tempo indisponível],tbLancamentos[Equipamento],$C447,tbLancamentos[Momento da falha],"&gt;="&amp;$C$7,tbLancamentos[Momento da falha],"&lt;="&amp;$D$7)),""))</f>
        <v/>
      </c>
      <c r="E447" s="97" t="str">
        <f>IF(C447="","",IFERROR(SUMIFS(tbLancamentos[Meta tempo reparo],tbLancamentos[Equipamento],$C447,tbLancamentos[Momento da falha],"&gt;="&amp;$C$7,tbLancamentos[Momento da falha],"&lt;="&amp;$D$7),""))</f>
        <v/>
      </c>
      <c r="F447" s="97" t="str">
        <f>IF(C447="","",IFERROR(SUMIFS(tbLancamentos[Tempo devido],tbLancamentos[Equipamento],$C447,tbLancamentos[Momento da falha],"&gt;="&amp;$C$7,tbLancamentos[Momento da falha],"&lt;="&amp;$D$7),""))</f>
        <v/>
      </c>
      <c r="G44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7" s="127" t="str">
        <f t="shared" si="8"/>
        <v/>
      </c>
    </row>
    <row r="448" spans="2:9" ht="20.100000000000001" customHeight="1" x14ac:dyDescent="0.25">
      <c r="B448" s="94">
        <f>CadEqu!B444</f>
        <v>438</v>
      </c>
      <c r="C448" s="94" t="str">
        <f>IF(CadEqu!F444="","",CadEqu!F444)</f>
        <v/>
      </c>
      <c r="D448" s="97" t="str">
        <f>IF(C448="","",IFERROR(IF(SUMIFS(tbLancamentos[Tempo indisponível],tbLancamentos[Equipamento],$C448,tbLancamentos[Momento da falha],"&gt;="&amp;$C$7,tbLancamentos[Momento da falha],"&lt;="&amp;$D$7)&gt;$E$7,$E$7,SUMIFS(tbLancamentos[Tempo indisponível],tbLancamentos[Equipamento],$C448,tbLancamentos[Momento da falha],"&gt;="&amp;$C$7,tbLancamentos[Momento da falha],"&lt;="&amp;$D$7)),""))</f>
        <v/>
      </c>
      <c r="E448" s="97" t="str">
        <f>IF(C448="","",IFERROR(SUMIFS(tbLancamentos[Meta tempo reparo],tbLancamentos[Equipamento],$C448,tbLancamentos[Momento da falha],"&gt;="&amp;$C$7,tbLancamentos[Momento da falha],"&lt;="&amp;$D$7),""))</f>
        <v/>
      </c>
      <c r="F448" s="97" t="str">
        <f>IF(C448="","",IFERROR(SUMIFS(tbLancamentos[Tempo devido],tbLancamentos[Equipamento],$C448,tbLancamentos[Momento da falha],"&gt;="&amp;$C$7,tbLancamentos[Momento da falha],"&lt;="&amp;$D$7),""))</f>
        <v/>
      </c>
      <c r="G44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8" s="127" t="str">
        <f t="shared" si="8"/>
        <v/>
      </c>
    </row>
    <row r="449" spans="2:9" ht="20.100000000000001" customHeight="1" x14ac:dyDescent="0.25">
      <c r="B449" s="94">
        <f>CadEqu!B445</f>
        <v>439</v>
      </c>
      <c r="C449" s="94" t="str">
        <f>IF(CadEqu!F445="","",CadEqu!F445)</f>
        <v/>
      </c>
      <c r="D449" s="97" t="str">
        <f>IF(C449="","",IFERROR(IF(SUMIFS(tbLancamentos[Tempo indisponível],tbLancamentos[Equipamento],$C449,tbLancamentos[Momento da falha],"&gt;="&amp;$C$7,tbLancamentos[Momento da falha],"&lt;="&amp;$D$7)&gt;$E$7,$E$7,SUMIFS(tbLancamentos[Tempo indisponível],tbLancamentos[Equipamento],$C449,tbLancamentos[Momento da falha],"&gt;="&amp;$C$7,tbLancamentos[Momento da falha],"&lt;="&amp;$D$7)),""))</f>
        <v/>
      </c>
      <c r="E449" s="97" t="str">
        <f>IF(C449="","",IFERROR(SUMIFS(tbLancamentos[Meta tempo reparo],tbLancamentos[Equipamento],$C449,tbLancamentos[Momento da falha],"&gt;="&amp;$C$7,tbLancamentos[Momento da falha],"&lt;="&amp;$D$7),""))</f>
        <v/>
      </c>
      <c r="F449" s="97" t="str">
        <f>IF(C449="","",IFERROR(SUMIFS(tbLancamentos[Tempo devido],tbLancamentos[Equipamento],$C449,tbLancamentos[Momento da falha],"&gt;="&amp;$C$7,tbLancamentos[Momento da falha],"&lt;="&amp;$D$7),""))</f>
        <v/>
      </c>
      <c r="G44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4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49" s="127" t="str">
        <f t="shared" si="8"/>
        <v/>
      </c>
    </row>
    <row r="450" spans="2:9" ht="20.100000000000001" customHeight="1" x14ac:dyDescent="0.25">
      <c r="B450" s="94">
        <f>CadEqu!B446</f>
        <v>440</v>
      </c>
      <c r="C450" s="94" t="str">
        <f>IF(CadEqu!F446="","",CadEqu!F446)</f>
        <v/>
      </c>
      <c r="D450" s="97" t="str">
        <f>IF(C450="","",IFERROR(IF(SUMIFS(tbLancamentos[Tempo indisponível],tbLancamentos[Equipamento],$C450,tbLancamentos[Momento da falha],"&gt;="&amp;$C$7,tbLancamentos[Momento da falha],"&lt;="&amp;$D$7)&gt;$E$7,$E$7,SUMIFS(tbLancamentos[Tempo indisponível],tbLancamentos[Equipamento],$C450,tbLancamentos[Momento da falha],"&gt;="&amp;$C$7,tbLancamentos[Momento da falha],"&lt;="&amp;$D$7)),""))</f>
        <v/>
      </c>
      <c r="E450" s="97" t="str">
        <f>IF(C450="","",IFERROR(SUMIFS(tbLancamentos[Meta tempo reparo],tbLancamentos[Equipamento],$C450,tbLancamentos[Momento da falha],"&gt;="&amp;$C$7,tbLancamentos[Momento da falha],"&lt;="&amp;$D$7),""))</f>
        <v/>
      </c>
      <c r="F450" s="97" t="str">
        <f>IF(C450="","",IFERROR(SUMIFS(tbLancamentos[Tempo devido],tbLancamentos[Equipamento],$C450,tbLancamentos[Momento da falha],"&gt;="&amp;$C$7,tbLancamentos[Momento da falha],"&lt;="&amp;$D$7),""))</f>
        <v/>
      </c>
      <c r="G45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0" s="127" t="str">
        <f t="shared" si="8"/>
        <v/>
      </c>
    </row>
    <row r="451" spans="2:9" ht="20.100000000000001" customHeight="1" x14ac:dyDescent="0.25">
      <c r="B451" s="94">
        <f>CadEqu!B447</f>
        <v>441</v>
      </c>
      <c r="C451" s="94" t="str">
        <f>IF(CadEqu!F447="","",CadEqu!F447)</f>
        <v/>
      </c>
      <c r="D451" s="97" t="str">
        <f>IF(C451="","",IFERROR(IF(SUMIFS(tbLancamentos[Tempo indisponível],tbLancamentos[Equipamento],$C451,tbLancamentos[Momento da falha],"&gt;="&amp;$C$7,tbLancamentos[Momento da falha],"&lt;="&amp;$D$7)&gt;$E$7,$E$7,SUMIFS(tbLancamentos[Tempo indisponível],tbLancamentos[Equipamento],$C451,tbLancamentos[Momento da falha],"&gt;="&amp;$C$7,tbLancamentos[Momento da falha],"&lt;="&amp;$D$7)),""))</f>
        <v/>
      </c>
      <c r="E451" s="97" t="str">
        <f>IF(C451="","",IFERROR(SUMIFS(tbLancamentos[Meta tempo reparo],tbLancamentos[Equipamento],$C451,tbLancamentos[Momento da falha],"&gt;="&amp;$C$7,tbLancamentos[Momento da falha],"&lt;="&amp;$D$7),""))</f>
        <v/>
      </c>
      <c r="F451" s="97" t="str">
        <f>IF(C451="","",IFERROR(SUMIFS(tbLancamentos[Tempo devido],tbLancamentos[Equipamento],$C451,tbLancamentos[Momento da falha],"&gt;="&amp;$C$7,tbLancamentos[Momento da falha],"&lt;="&amp;$D$7),""))</f>
        <v/>
      </c>
      <c r="G45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1" s="127" t="str">
        <f t="shared" si="8"/>
        <v/>
      </c>
    </row>
    <row r="452" spans="2:9" ht="20.100000000000001" customHeight="1" x14ac:dyDescent="0.25">
      <c r="B452" s="94">
        <f>CadEqu!B448</f>
        <v>442</v>
      </c>
      <c r="C452" s="94" t="str">
        <f>IF(CadEqu!F448="","",CadEqu!F448)</f>
        <v/>
      </c>
      <c r="D452" s="97" t="str">
        <f>IF(C452="","",IFERROR(IF(SUMIFS(tbLancamentos[Tempo indisponível],tbLancamentos[Equipamento],$C452,tbLancamentos[Momento da falha],"&gt;="&amp;$C$7,tbLancamentos[Momento da falha],"&lt;="&amp;$D$7)&gt;$E$7,$E$7,SUMIFS(tbLancamentos[Tempo indisponível],tbLancamentos[Equipamento],$C452,tbLancamentos[Momento da falha],"&gt;="&amp;$C$7,tbLancamentos[Momento da falha],"&lt;="&amp;$D$7)),""))</f>
        <v/>
      </c>
      <c r="E452" s="97" t="str">
        <f>IF(C452="","",IFERROR(SUMIFS(tbLancamentos[Meta tempo reparo],tbLancamentos[Equipamento],$C452,tbLancamentos[Momento da falha],"&gt;="&amp;$C$7,tbLancamentos[Momento da falha],"&lt;="&amp;$D$7),""))</f>
        <v/>
      </c>
      <c r="F452" s="97" t="str">
        <f>IF(C452="","",IFERROR(SUMIFS(tbLancamentos[Tempo devido],tbLancamentos[Equipamento],$C452,tbLancamentos[Momento da falha],"&gt;="&amp;$C$7,tbLancamentos[Momento da falha],"&lt;="&amp;$D$7),""))</f>
        <v/>
      </c>
      <c r="G45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2" s="127" t="str">
        <f t="shared" si="8"/>
        <v/>
      </c>
    </row>
    <row r="453" spans="2:9" ht="20.100000000000001" customHeight="1" x14ac:dyDescent="0.25">
      <c r="B453" s="94">
        <f>CadEqu!B449</f>
        <v>443</v>
      </c>
      <c r="C453" s="94" t="str">
        <f>IF(CadEqu!F449="","",CadEqu!F449)</f>
        <v/>
      </c>
      <c r="D453" s="97" t="str">
        <f>IF(C453="","",IFERROR(IF(SUMIFS(tbLancamentos[Tempo indisponível],tbLancamentos[Equipamento],$C453,tbLancamentos[Momento da falha],"&gt;="&amp;$C$7,tbLancamentos[Momento da falha],"&lt;="&amp;$D$7)&gt;$E$7,$E$7,SUMIFS(tbLancamentos[Tempo indisponível],tbLancamentos[Equipamento],$C453,tbLancamentos[Momento da falha],"&gt;="&amp;$C$7,tbLancamentos[Momento da falha],"&lt;="&amp;$D$7)),""))</f>
        <v/>
      </c>
      <c r="E453" s="97" t="str">
        <f>IF(C453="","",IFERROR(SUMIFS(tbLancamentos[Meta tempo reparo],tbLancamentos[Equipamento],$C453,tbLancamentos[Momento da falha],"&gt;="&amp;$C$7,tbLancamentos[Momento da falha],"&lt;="&amp;$D$7),""))</f>
        <v/>
      </c>
      <c r="F453" s="97" t="str">
        <f>IF(C453="","",IFERROR(SUMIFS(tbLancamentos[Tempo devido],tbLancamentos[Equipamento],$C453,tbLancamentos[Momento da falha],"&gt;="&amp;$C$7,tbLancamentos[Momento da falha],"&lt;="&amp;$D$7),""))</f>
        <v/>
      </c>
      <c r="G45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3" s="127" t="str">
        <f t="shared" si="8"/>
        <v/>
      </c>
    </row>
    <row r="454" spans="2:9" ht="20.100000000000001" customHeight="1" x14ac:dyDescent="0.25">
      <c r="B454" s="94">
        <f>CadEqu!B450</f>
        <v>444</v>
      </c>
      <c r="C454" s="94" t="str">
        <f>IF(CadEqu!F450="","",CadEqu!F450)</f>
        <v/>
      </c>
      <c r="D454" s="97" t="str">
        <f>IF(C454="","",IFERROR(IF(SUMIFS(tbLancamentos[Tempo indisponível],tbLancamentos[Equipamento],$C454,tbLancamentos[Momento da falha],"&gt;="&amp;$C$7,tbLancamentos[Momento da falha],"&lt;="&amp;$D$7)&gt;$E$7,$E$7,SUMIFS(tbLancamentos[Tempo indisponível],tbLancamentos[Equipamento],$C454,tbLancamentos[Momento da falha],"&gt;="&amp;$C$7,tbLancamentos[Momento da falha],"&lt;="&amp;$D$7)),""))</f>
        <v/>
      </c>
      <c r="E454" s="97" t="str">
        <f>IF(C454="","",IFERROR(SUMIFS(tbLancamentos[Meta tempo reparo],tbLancamentos[Equipamento],$C454,tbLancamentos[Momento da falha],"&gt;="&amp;$C$7,tbLancamentos[Momento da falha],"&lt;="&amp;$D$7),""))</f>
        <v/>
      </c>
      <c r="F454" s="97" t="str">
        <f>IF(C454="","",IFERROR(SUMIFS(tbLancamentos[Tempo devido],tbLancamentos[Equipamento],$C454,tbLancamentos[Momento da falha],"&gt;="&amp;$C$7,tbLancamentos[Momento da falha],"&lt;="&amp;$D$7),""))</f>
        <v/>
      </c>
      <c r="G45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4" s="127" t="str">
        <f t="shared" si="8"/>
        <v/>
      </c>
    </row>
    <row r="455" spans="2:9" ht="20.100000000000001" customHeight="1" x14ac:dyDescent="0.25">
      <c r="B455" s="94">
        <f>CadEqu!B451</f>
        <v>445</v>
      </c>
      <c r="C455" s="94" t="str">
        <f>IF(CadEqu!F451="","",CadEqu!F451)</f>
        <v/>
      </c>
      <c r="D455" s="97" t="str">
        <f>IF(C455="","",IFERROR(IF(SUMIFS(tbLancamentos[Tempo indisponível],tbLancamentos[Equipamento],$C455,tbLancamentos[Momento da falha],"&gt;="&amp;$C$7,tbLancamentos[Momento da falha],"&lt;="&amp;$D$7)&gt;$E$7,$E$7,SUMIFS(tbLancamentos[Tempo indisponível],tbLancamentos[Equipamento],$C455,tbLancamentos[Momento da falha],"&gt;="&amp;$C$7,tbLancamentos[Momento da falha],"&lt;="&amp;$D$7)),""))</f>
        <v/>
      </c>
      <c r="E455" s="97" t="str">
        <f>IF(C455="","",IFERROR(SUMIFS(tbLancamentos[Meta tempo reparo],tbLancamentos[Equipamento],$C455,tbLancamentos[Momento da falha],"&gt;="&amp;$C$7,tbLancamentos[Momento da falha],"&lt;="&amp;$D$7),""))</f>
        <v/>
      </c>
      <c r="F455" s="97" t="str">
        <f>IF(C455="","",IFERROR(SUMIFS(tbLancamentos[Tempo devido],tbLancamentos[Equipamento],$C455,tbLancamentos[Momento da falha],"&gt;="&amp;$C$7,tbLancamentos[Momento da falha],"&lt;="&amp;$D$7),""))</f>
        <v/>
      </c>
      <c r="G45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5" s="127" t="str">
        <f t="shared" si="8"/>
        <v/>
      </c>
    </row>
    <row r="456" spans="2:9" ht="20.100000000000001" customHeight="1" x14ac:dyDescent="0.25">
      <c r="B456" s="94">
        <f>CadEqu!B452</f>
        <v>446</v>
      </c>
      <c r="C456" s="94" t="str">
        <f>IF(CadEqu!F452="","",CadEqu!F452)</f>
        <v/>
      </c>
      <c r="D456" s="97" t="str">
        <f>IF(C456="","",IFERROR(IF(SUMIFS(tbLancamentos[Tempo indisponível],tbLancamentos[Equipamento],$C456,tbLancamentos[Momento da falha],"&gt;="&amp;$C$7,tbLancamentos[Momento da falha],"&lt;="&amp;$D$7)&gt;$E$7,$E$7,SUMIFS(tbLancamentos[Tempo indisponível],tbLancamentos[Equipamento],$C456,tbLancamentos[Momento da falha],"&gt;="&amp;$C$7,tbLancamentos[Momento da falha],"&lt;="&amp;$D$7)),""))</f>
        <v/>
      </c>
      <c r="E456" s="97" t="str">
        <f>IF(C456="","",IFERROR(SUMIFS(tbLancamentos[Meta tempo reparo],tbLancamentos[Equipamento],$C456,tbLancamentos[Momento da falha],"&gt;="&amp;$C$7,tbLancamentos[Momento da falha],"&lt;="&amp;$D$7),""))</f>
        <v/>
      </c>
      <c r="F456" s="97" t="str">
        <f>IF(C456="","",IFERROR(SUMIFS(tbLancamentos[Tempo devido],tbLancamentos[Equipamento],$C456,tbLancamentos[Momento da falha],"&gt;="&amp;$C$7,tbLancamentos[Momento da falha],"&lt;="&amp;$D$7),""))</f>
        <v/>
      </c>
      <c r="G45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6" s="127" t="str">
        <f t="shared" si="8"/>
        <v/>
      </c>
    </row>
    <row r="457" spans="2:9" ht="20.100000000000001" customHeight="1" x14ac:dyDescent="0.25">
      <c r="B457" s="94">
        <f>CadEqu!B453</f>
        <v>447</v>
      </c>
      <c r="C457" s="94" t="str">
        <f>IF(CadEqu!F453="","",CadEqu!F453)</f>
        <v/>
      </c>
      <c r="D457" s="97" t="str">
        <f>IF(C457="","",IFERROR(IF(SUMIFS(tbLancamentos[Tempo indisponível],tbLancamentos[Equipamento],$C457,tbLancamentos[Momento da falha],"&gt;="&amp;$C$7,tbLancamentos[Momento da falha],"&lt;="&amp;$D$7)&gt;$E$7,$E$7,SUMIFS(tbLancamentos[Tempo indisponível],tbLancamentos[Equipamento],$C457,tbLancamentos[Momento da falha],"&gt;="&amp;$C$7,tbLancamentos[Momento da falha],"&lt;="&amp;$D$7)),""))</f>
        <v/>
      </c>
      <c r="E457" s="97" t="str">
        <f>IF(C457="","",IFERROR(SUMIFS(tbLancamentos[Meta tempo reparo],tbLancamentos[Equipamento],$C457,tbLancamentos[Momento da falha],"&gt;="&amp;$C$7,tbLancamentos[Momento da falha],"&lt;="&amp;$D$7),""))</f>
        <v/>
      </c>
      <c r="F457" s="97" t="str">
        <f>IF(C457="","",IFERROR(SUMIFS(tbLancamentos[Tempo devido],tbLancamentos[Equipamento],$C457,tbLancamentos[Momento da falha],"&gt;="&amp;$C$7,tbLancamentos[Momento da falha],"&lt;="&amp;$D$7),""))</f>
        <v/>
      </c>
      <c r="G45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7" s="127" t="str">
        <f t="shared" si="8"/>
        <v/>
      </c>
    </row>
    <row r="458" spans="2:9" ht="20.100000000000001" customHeight="1" x14ac:dyDescent="0.25">
      <c r="B458" s="94">
        <f>CadEqu!B454</f>
        <v>448</v>
      </c>
      <c r="C458" s="94" t="str">
        <f>IF(CadEqu!F454="","",CadEqu!F454)</f>
        <v/>
      </c>
      <c r="D458" s="97" t="str">
        <f>IF(C458="","",IFERROR(IF(SUMIFS(tbLancamentos[Tempo indisponível],tbLancamentos[Equipamento],$C458,tbLancamentos[Momento da falha],"&gt;="&amp;$C$7,tbLancamentos[Momento da falha],"&lt;="&amp;$D$7)&gt;$E$7,$E$7,SUMIFS(tbLancamentos[Tempo indisponível],tbLancamentos[Equipamento],$C458,tbLancamentos[Momento da falha],"&gt;="&amp;$C$7,tbLancamentos[Momento da falha],"&lt;="&amp;$D$7)),""))</f>
        <v/>
      </c>
      <c r="E458" s="97" t="str">
        <f>IF(C458="","",IFERROR(SUMIFS(tbLancamentos[Meta tempo reparo],tbLancamentos[Equipamento],$C458,tbLancamentos[Momento da falha],"&gt;="&amp;$C$7,tbLancamentos[Momento da falha],"&lt;="&amp;$D$7),""))</f>
        <v/>
      </c>
      <c r="F458" s="97" t="str">
        <f>IF(C458="","",IFERROR(SUMIFS(tbLancamentos[Tempo devido],tbLancamentos[Equipamento],$C458,tbLancamentos[Momento da falha],"&gt;="&amp;$C$7,tbLancamentos[Momento da falha],"&lt;="&amp;$D$7),""))</f>
        <v/>
      </c>
      <c r="G45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8" s="127" t="str">
        <f t="shared" si="8"/>
        <v/>
      </c>
    </row>
    <row r="459" spans="2:9" ht="20.100000000000001" customHeight="1" x14ac:dyDescent="0.25">
      <c r="B459" s="94">
        <f>CadEqu!B455</f>
        <v>449</v>
      </c>
      <c r="C459" s="94" t="str">
        <f>IF(CadEqu!F455="","",CadEqu!F455)</f>
        <v/>
      </c>
      <c r="D459" s="97" t="str">
        <f>IF(C459="","",IFERROR(IF(SUMIFS(tbLancamentos[Tempo indisponível],tbLancamentos[Equipamento],$C459,tbLancamentos[Momento da falha],"&gt;="&amp;$C$7,tbLancamentos[Momento da falha],"&lt;="&amp;$D$7)&gt;$E$7,$E$7,SUMIFS(tbLancamentos[Tempo indisponível],tbLancamentos[Equipamento],$C459,tbLancamentos[Momento da falha],"&gt;="&amp;$C$7,tbLancamentos[Momento da falha],"&lt;="&amp;$D$7)),""))</f>
        <v/>
      </c>
      <c r="E459" s="97" t="str">
        <f>IF(C459="","",IFERROR(SUMIFS(tbLancamentos[Meta tempo reparo],tbLancamentos[Equipamento],$C459,tbLancamentos[Momento da falha],"&gt;="&amp;$C$7,tbLancamentos[Momento da falha],"&lt;="&amp;$D$7),""))</f>
        <v/>
      </c>
      <c r="F459" s="97" t="str">
        <f>IF(C459="","",IFERROR(SUMIFS(tbLancamentos[Tempo devido],tbLancamentos[Equipamento],$C459,tbLancamentos[Momento da falha],"&gt;="&amp;$C$7,tbLancamentos[Momento da falha],"&lt;="&amp;$D$7),""))</f>
        <v/>
      </c>
      <c r="G45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5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59" s="127" t="str">
        <f t="shared" ref="I459:I510" si="9">IF(C459="","",($E$7-(D459-E459))/$E$7)</f>
        <v/>
      </c>
    </row>
    <row r="460" spans="2:9" ht="20.100000000000001" customHeight="1" x14ac:dyDescent="0.25">
      <c r="B460" s="94">
        <f>CadEqu!B456</f>
        <v>450</v>
      </c>
      <c r="C460" s="94" t="str">
        <f>IF(CadEqu!F456="","",CadEqu!F456)</f>
        <v/>
      </c>
      <c r="D460" s="97" t="str">
        <f>IF(C460="","",IFERROR(IF(SUMIFS(tbLancamentos[Tempo indisponível],tbLancamentos[Equipamento],$C460,tbLancamentos[Momento da falha],"&gt;="&amp;$C$7,tbLancamentos[Momento da falha],"&lt;="&amp;$D$7)&gt;$E$7,$E$7,SUMIFS(tbLancamentos[Tempo indisponível],tbLancamentos[Equipamento],$C460,tbLancamentos[Momento da falha],"&gt;="&amp;$C$7,tbLancamentos[Momento da falha],"&lt;="&amp;$D$7)),""))</f>
        <v/>
      </c>
      <c r="E460" s="97" t="str">
        <f>IF(C460="","",IFERROR(SUMIFS(tbLancamentos[Meta tempo reparo],tbLancamentos[Equipamento],$C460,tbLancamentos[Momento da falha],"&gt;="&amp;$C$7,tbLancamentos[Momento da falha],"&lt;="&amp;$D$7),""))</f>
        <v/>
      </c>
      <c r="F460" s="97" t="str">
        <f>IF(C460="","",IFERROR(SUMIFS(tbLancamentos[Tempo devido],tbLancamentos[Equipamento],$C460,tbLancamentos[Momento da falha],"&gt;="&amp;$C$7,tbLancamentos[Momento da falha],"&lt;="&amp;$D$7),""))</f>
        <v/>
      </c>
      <c r="G46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0" s="127" t="str">
        <f t="shared" si="9"/>
        <v/>
      </c>
    </row>
    <row r="461" spans="2:9" ht="20.100000000000001" customHeight="1" x14ac:dyDescent="0.25">
      <c r="B461" s="94">
        <f>CadEqu!B457</f>
        <v>451</v>
      </c>
      <c r="C461" s="94" t="str">
        <f>IF(CadEqu!F457="","",CadEqu!F457)</f>
        <v/>
      </c>
      <c r="D461" s="97" t="str">
        <f>IF(C461="","",IFERROR(IF(SUMIFS(tbLancamentos[Tempo indisponível],tbLancamentos[Equipamento],$C461,tbLancamentos[Momento da falha],"&gt;="&amp;$C$7,tbLancamentos[Momento da falha],"&lt;="&amp;$D$7)&gt;$E$7,$E$7,SUMIFS(tbLancamentos[Tempo indisponível],tbLancamentos[Equipamento],$C461,tbLancamentos[Momento da falha],"&gt;="&amp;$C$7,tbLancamentos[Momento da falha],"&lt;="&amp;$D$7)),""))</f>
        <v/>
      </c>
      <c r="E461" s="97" t="str">
        <f>IF(C461="","",IFERROR(SUMIFS(tbLancamentos[Meta tempo reparo],tbLancamentos[Equipamento],$C461,tbLancamentos[Momento da falha],"&gt;="&amp;$C$7,tbLancamentos[Momento da falha],"&lt;="&amp;$D$7),""))</f>
        <v/>
      </c>
      <c r="F461" s="97" t="str">
        <f>IF(C461="","",IFERROR(SUMIFS(tbLancamentos[Tempo devido],tbLancamentos[Equipamento],$C461,tbLancamentos[Momento da falha],"&gt;="&amp;$C$7,tbLancamentos[Momento da falha],"&lt;="&amp;$D$7),""))</f>
        <v/>
      </c>
      <c r="G46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1" s="127" t="str">
        <f t="shared" si="9"/>
        <v/>
      </c>
    </row>
    <row r="462" spans="2:9" ht="20.100000000000001" customHeight="1" x14ac:dyDescent="0.25">
      <c r="B462" s="94">
        <f>CadEqu!B458</f>
        <v>452</v>
      </c>
      <c r="C462" s="94" t="str">
        <f>IF(CadEqu!F458="","",CadEqu!F458)</f>
        <v/>
      </c>
      <c r="D462" s="97" t="str">
        <f>IF(C462="","",IFERROR(IF(SUMIFS(tbLancamentos[Tempo indisponível],tbLancamentos[Equipamento],$C462,tbLancamentos[Momento da falha],"&gt;="&amp;$C$7,tbLancamentos[Momento da falha],"&lt;="&amp;$D$7)&gt;$E$7,$E$7,SUMIFS(tbLancamentos[Tempo indisponível],tbLancamentos[Equipamento],$C462,tbLancamentos[Momento da falha],"&gt;="&amp;$C$7,tbLancamentos[Momento da falha],"&lt;="&amp;$D$7)),""))</f>
        <v/>
      </c>
      <c r="E462" s="97" t="str">
        <f>IF(C462="","",IFERROR(SUMIFS(tbLancamentos[Meta tempo reparo],tbLancamentos[Equipamento],$C462,tbLancamentos[Momento da falha],"&gt;="&amp;$C$7,tbLancamentos[Momento da falha],"&lt;="&amp;$D$7),""))</f>
        <v/>
      </c>
      <c r="F462" s="97" t="str">
        <f>IF(C462="","",IFERROR(SUMIFS(tbLancamentos[Tempo devido],tbLancamentos[Equipamento],$C462,tbLancamentos[Momento da falha],"&gt;="&amp;$C$7,tbLancamentos[Momento da falha],"&lt;="&amp;$D$7),""))</f>
        <v/>
      </c>
      <c r="G46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2" s="127" t="str">
        <f t="shared" si="9"/>
        <v/>
      </c>
    </row>
    <row r="463" spans="2:9" ht="20.100000000000001" customHeight="1" x14ac:dyDescent="0.25">
      <c r="B463" s="94">
        <f>CadEqu!B459</f>
        <v>453</v>
      </c>
      <c r="C463" s="94" t="str">
        <f>IF(CadEqu!F459="","",CadEqu!F459)</f>
        <v/>
      </c>
      <c r="D463" s="97" t="str">
        <f>IF(C463="","",IFERROR(IF(SUMIFS(tbLancamentos[Tempo indisponível],tbLancamentos[Equipamento],$C463,tbLancamentos[Momento da falha],"&gt;="&amp;$C$7,tbLancamentos[Momento da falha],"&lt;="&amp;$D$7)&gt;$E$7,$E$7,SUMIFS(tbLancamentos[Tempo indisponível],tbLancamentos[Equipamento],$C463,tbLancamentos[Momento da falha],"&gt;="&amp;$C$7,tbLancamentos[Momento da falha],"&lt;="&amp;$D$7)),""))</f>
        <v/>
      </c>
      <c r="E463" s="97" t="str">
        <f>IF(C463="","",IFERROR(SUMIFS(tbLancamentos[Meta tempo reparo],tbLancamentos[Equipamento],$C463,tbLancamentos[Momento da falha],"&gt;="&amp;$C$7,tbLancamentos[Momento da falha],"&lt;="&amp;$D$7),""))</f>
        <v/>
      </c>
      <c r="F463" s="97" t="str">
        <f>IF(C463="","",IFERROR(SUMIFS(tbLancamentos[Tempo devido],tbLancamentos[Equipamento],$C463,tbLancamentos[Momento da falha],"&gt;="&amp;$C$7,tbLancamentos[Momento da falha],"&lt;="&amp;$D$7),""))</f>
        <v/>
      </c>
      <c r="G46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3" s="127" t="str">
        <f t="shared" si="9"/>
        <v/>
      </c>
    </row>
    <row r="464" spans="2:9" ht="20.100000000000001" customHeight="1" x14ac:dyDescent="0.25">
      <c r="B464" s="94">
        <f>CadEqu!B460</f>
        <v>454</v>
      </c>
      <c r="C464" s="94" t="str">
        <f>IF(CadEqu!F460="","",CadEqu!F460)</f>
        <v/>
      </c>
      <c r="D464" s="97" t="str">
        <f>IF(C464="","",IFERROR(IF(SUMIFS(tbLancamentos[Tempo indisponível],tbLancamentos[Equipamento],$C464,tbLancamentos[Momento da falha],"&gt;="&amp;$C$7,tbLancamentos[Momento da falha],"&lt;="&amp;$D$7)&gt;$E$7,$E$7,SUMIFS(tbLancamentos[Tempo indisponível],tbLancamentos[Equipamento],$C464,tbLancamentos[Momento da falha],"&gt;="&amp;$C$7,tbLancamentos[Momento da falha],"&lt;="&amp;$D$7)),""))</f>
        <v/>
      </c>
      <c r="E464" s="97" t="str">
        <f>IF(C464="","",IFERROR(SUMIFS(tbLancamentos[Meta tempo reparo],tbLancamentos[Equipamento],$C464,tbLancamentos[Momento da falha],"&gt;="&amp;$C$7,tbLancamentos[Momento da falha],"&lt;="&amp;$D$7),""))</f>
        <v/>
      </c>
      <c r="F464" s="97" t="str">
        <f>IF(C464="","",IFERROR(SUMIFS(tbLancamentos[Tempo devido],tbLancamentos[Equipamento],$C464,tbLancamentos[Momento da falha],"&gt;="&amp;$C$7,tbLancamentos[Momento da falha],"&lt;="&amp;$D$7),""))</f>
        <v/>
      </c>
      <c r="G46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4" s="127" t="str">
        <f t="shared" si="9"/>
        <v/>
      </c>
    </row>
    <row r="465" spans="2:9" ht="20.100000000000001" customHeight="1" x14ac:dyDescent="0.25">
      <c r="B465" s="94">
        <f>CadEqu!B461</f>
        <v>455</v>
      </c>
      <c r="C465" s="94" t="str">
        <f>IF(CadEqu!F461="","",CadEqu!F461)</f>
        <v/>
      </c>
      <c r="D465" s="97" t="str">
        <f>IF(C465="","",IFERROR(IF(SUMIFS(tbLancamentos[Tempo indisponível],tbLancamentos[Equipamento],$C465,tbLancamentos[Momento da falha],"&gt;="&amp;$C$7,tbLancamentos[Momento da falha],"&lt;="&amp;$D$7)&gt;$E$7,$E$7,SUMIFS(tbLancamentos[Tempo indisponível],tbLancamentos[Equipamento],$C465,tbLancamentos[Momento da falha],"&gt;="&amp;$C$7,tbLancamentos[Momento da falha],"&lt;="&amp;$D$7)),""))</f>
        <v/>
      </c>
      <c r="E465" s="97" t="str">
        <f>IF(C465="","",IFERROR(SUMIFS(tbLancamentos[Meta tempo reparo],tbLancamentos[Equipamento],$C465,tbLancamentos[Momento da falha],"&gt;="&amp;$C$7,tbLancamentos[Momento da falha],"&lt;="&amp;$D$7),""))</f>
        <v/>
      </c>
      <c r="F465" s="97" t="str">
        <f>IF(C465="","",IFERROR(SUMIFS(tbLancamentos[Tempo devido],tbLancamentos[Equipamento],$C465,tbLancamentos[Momento da falha],"&gt;="&amp;$C$7,tbLancamentos[Momento da falha],"&lt;="&amp;$D$7),""))</f>
        <v/>
      </c>
      <c r="G46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5" s="127" t="str">
        <f t="shared" si="9"/>
        <v/>
      </c>
    </row>
    <row r="466" spans="2:9" ht="20.100000000000001" customHeight="1" x14ac:dyDescent="0.25">
      <c r="B466" s="94">
        <f>CadEqu!B462</f>
        <v>456</v>
      </c>
      <c r="C466" s="94" t="str">
        <f>IF(CadEqu!F462="","",CadEqu!F462)</f>
        <v/>
      </c>
      <c r="D466" s="97" t="str">
        <f>IF(C466="","",IFERROR(IF(SUMIFS(tbLancamentos[Tempo indisponível],tbLancamentos[Equipamento],$C466,tbLancamentos[Momento da falha],"&gt;="&amp;$C$7,tbLancamentos[Momento da falha],"&lt;="&amp;$D$7)&gt;$E$7,$E$7,SUMIFS(tbLancamentos[Tempo indisponível],tbLancamentos[Equipamento],$C466,tbLancamentos[Momento da falha],"&gt;="&amp;$C$7,tbLancamentos[Momento da falha],"&lt;="&amp;$D$7)),""))</f>
        <v/>
      </c>
      <c r="E466" s="97" t="str">
        <f>IF(C466="","",IFERROR(SUMIFS(tbLancamentos[Meta tempo reparo],tbLancamentos[Equipamento],$C466,tbLancamentos[Momento da falha],"&gt;="&amp;$C$7,tbLancamentos[Momento da falha],"&lt;="&amp;$D$7),""))</f>
        <v/>
      </c>
      <c r="F466" s="97" t="str">
        <f>IF(C466="","",IFERROR(SUMIFS(tbLancamentos[Tempo devido],tbLancamentos[Equipamento],$C466,tbLancamentos[Momento da falha],"&gt;="&amp;$C$7,tbLancamentos[Momento da falha],"&lt;="&amp;$D$7),""))</f>
        <v/>
      </c>
      <c r="G46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6" s="127" t="str">
        <f t="shared" si="9"/>
        <v/>
      </c>
    </row>
    <row r="467" spans="2:9" ht="20.100000000000001" customHeight="1" x14ac:dyDescent="0.25">
      <c r="B467" s="94">
        <f>CadEqu!B463</f>
        <v>457</v>
      </c>
      <c r="C467" s="94" t="str">
        <f>IF(CadEqu!F463="","",CadEqu!F463)</f>
        <v/>
      </c>
      <c r="D467" s="97" t="str">
        <f>IF(C467="","",IFERROR(IF(SUMIFS(tbLancamentos[Tempo indisponível],tbLancamentos[Equipamento],$C467,tbLancamentos[Momento da falha],"&gt;="&amp;$C$7,tbLancamentos[Momento da falha],"&lt;="&amp;$D$7)&gt;$E$7,$E$7,SUMIFS(tbLancamentos[Tempo indisponível],tbLancamentos[Equipamento],$C467,tbLancamentos[Momento da falha],"&gt;="&amp;$C$7,tbLancamentos[Momento da falha],"&lt;="&amp;$D$7)),""))</f>
        <v/>
      </c>
      <c r="E467" s="97" t="str">
        <f>IF(C467="","",IFERROR(SUMIFS(tbLancamentos[Meta tempo reparo],tbLancamentos[Equipamento],$C467,tbLancamentos[Momento da falha],"&gt;="&amp;$C$7,tbLancamentos[Momento da falha],"&lt;="&amp;$D$7),""))</f>
        <v/>
      </c>
      <c r="F467" s="97" t="str">
        <f>IF(C467="","",IFERROR(SUMIFS(tbLancamentos[Tempo devido],tbLancamentos[Equipamento],$C467,tbLancamentos[Momento da falha],"&gt;="&amp;$C$7,tbLancamentos[Momento da falha],"&lt;="&amp;$D$7),""))</f>
        <v/>
      </c>
      <c r="G46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7" s="127" t="str">
        <f t="shared" si="9"/>
        <v/>
      </c>
    </row>
    <row r="468" spans="2:9" ht="20.100000000000001" customHeight="1" x14ac:dyDescent="0.25">
      <c r="B468" s="94">
        <f>CadEqu!B464</f>
        <v>458</v>
      </c>
      <c r="C468" s="94" t="str">
        <f>IF(CadEqu!F464="","",CadEqu!F464)</f>
        <v/>
      </c>
      <c r="D468" s="97" t="str">
        <f>IF(C468="","",IFERROR(IF(SUMIFS(tbLancamentos[Tempo indisponível],tbLancamentos[Equipamento],$C468,tbLancamentos[Momento da falha],"&gt;="&amp;$C$7,tbLancamentos[Momento da falha],"&lt;="&amp;$D$7)&gt;$E$7,$E$7,SUMIFS(tbLancamentos[Tempo indisponível],tbLancamentos[Equipamento],$C468,tbLancamentos[Momento da falha],"&gt;="&amp;$C$7,tbLancamentos[Momento da falha],"&lt;="&amp;$D$7)),""))</f>
        <v/>
      </c>
      <c r="E468" s="97" t="str">
        <f>IF(C468="","",IFERROR(SUMIFS(tbLancamentos[Meta tempo reparo],tbLancamentos[Equipamento],$C468,tbLancamentos[Momento da falha],"&gt;="&amp;$C$7,tbLancamentos[Momento da falha],"&lt;="&amp;$D$7),""))</f>
        <v/>
      </c>
      <c r="F468" s="97" t="str">
        <f>IF(C468="","",IFERROR(SUMIFS(tbLancamentos[Tempo devido],tbLancamentos[Equipamento],$C468,tbLancamentos[Momento da falha],"&gt;="&amp;$C$7,tbLancamentos[Momento da falha],"&lt;="&amp;$D$7),""))</f>
        <v/>
      </c>
      <c r="G46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8" s="127" t="str">
        <f t="shared" si="9"/>
        <v/>
      </c>
    </row>
    <row r="469" spans="2:9" ht="20.100000000000001" customHeight="1" x14ac:dyDescent="0.25">
      <c r="B469" s="94">
        <f>CadEqu!B465</f>
        <v>459</v>
      </c>
      <c r="C469" s="94" t="str">
        <f>IF(CadEqu!F465="","",CadEqu!F465)</f>
        <v/>
      </c>
      <c r="D469" s="97" t="str">
        <f>IF(C469="","",IFERROR(IF(SUMIFS(tbLancamentos[Tempo indisponível],tbLancamentos[Equipamento],$C469,tbLancamentos[Momento da falha],"&gt;="&amp;$C$7,tbLancamentos[Momento da falha],"&lt;="&amp;$D$7)&gt;$E$7,$E$7,SUMIFS(tbLancamentos[Tempo indisponível],tbLancamentos[Equipamento],$C469,tbLancamentos[Momento da falha],"&gt;="&amp;$C$7,tbLancamentos[Momento da falha],"&lt;="&amp;$D$7)),""))</f>
        <v/>
      </c>
      <c r="E469" s="97" t="str">
        <f>IF(C469="","",IFERROR(SUMIFS(tbLancamentos[Meta tempo reparo],tbLancamentos[Equipamento],$C469,tbLancamentos[Momento da falha],"&gt;="&amp;$C$7,tbLancamentos[Momento da falha],"&lt;="&amp;$D$7),""))</f>
        <v/>
      </c>
      <c r="F469" s="97" t="str">
        <f>IF(C469="","",IFERROR(SUMIFS(tbLancamentos[Tempo devido],tbLancamentos[Equipamento],$C469,tbLancamentos[Momento da falha],"&gt;="&amp;$C$7,tbLancamentos[Momento da falha],"&lt;="&amp;$D$7),""))</f>
        <v/>
      </c>
      <c r="G46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6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69" s="127" t="str">
        <f t="shared" si="9"/>
        <v/>
      </c>
    </row>
    <row r="470" spans="2:9" ht="20.100000000000001" customHeight="1" x14ac:dyDescent="0.25">
      <c r="B470" s="94">
        <f>CadEqu!B466</f>
        <v>460</v>
      </c>
      <c r="C470" s="94" t="str">
        <f>IF(CadEqu!F466="","",CadEqu!F466)</f>
        <v/>
      </c>
      <c r="D470" s="97" t="str">
        <f>IF(C470="","",IFERROR(IF(SUMIFS(tbLancamentos[Tempo indisponível],tbLancamentos[Equipamento],$C470,tbLancamentos[Momento da falha],"&gt;="&amp;$C$7,tbLancamentos[Momento da falha],"&lt;="&amp;$D$7)&gt;$E$7,$E$7,SUMIFS(tbLancamentos[Tempo indisponível],tbLancamentos[Equipamento],$C470,tbLancamentos[Momento da falha],"&gt;="&amp;$C$7,tbLancamentos[Momento da falha],"&lt;="&amp;$D$7)),""))</f>
        <v/>
      </c>
      <c r="E470" s="97" t="str">
        <f>IF(C470="","",IFERROR(SUMIFS(tbLancamentos[Meta tempo reparo],tbLancamentos[Equipamento],$C470,tbLancamentos[Momento da falha],"&gt;="&amp;$C$7,tbLancamentos[Momento da falha],"&lt;="&amp;$D$7),""))</f>
        <v/>
      </c>
      <c r="F470" s="97" t="str">
        <f>IF(C470="","",IFERROR(SUMIFS(tbLancamentos[Tempo devido],tbLancamentos[Equipamento],$C470,tbLancamentos[Momento da falha],"&gt;="&amp;$C$7,tbLancamentos[Momento da falha],"&lt;="&amp;$D$7),""))</f>
        <v/>
      </c>
      <c r="G47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0" s="127" t="str">
        <f t="shared" si="9"/>
        <v/>
      </c>
    </row>
    <row r="471" spans="2:9" ht="20.100000000000001" customHeight="1" x14ac:dyDescent="0.25">
      <c r="B471" s="94">
        <f>CadEqu!B467</f>
        <v>461</v>
      </c>
      <c r="C471" s="94" t="str">
        <f>IF(CadEqu!F467="","",CadEqu!F467)</f>
        <v/>
      </c>
      <c r="D471" s="97" t="str">
        <f>IF(C471="","",IFERROR(IF(SUMIFS(tbLancamentos[Tempo indisponível],tbLancamentos[Equipamento],$C471,tbLancamentos[Momento da falha],"&gt;="&amp;$C$7,tbLancamentos[Momento da falha],"&lt;="&amp;$D$7)&gt;$E$7,$E$7,SUMIFS(tbLancamentos[Tempo indisponível],tbLancamentos[Equipamento],$C471,tbLancamentos[Momento da falha],"&gt;="&amp;$C$7,tbLancamentos[Momento da falha],"&lt;="&amp;$D$7)),""))</f>
        <v/>
      </c>
      <c r="E471" s="97" t="str">
        <f>IF(C471="","",IFERROR(SUMIFS(tbLancamentos[Meta tempo reparo],tbLancamentos[Equipamento],$C471,tbLancamentos[Momento da falha],"&gt;="&amp;$C$7,tbLancamentos[Momento da falha],"&lt;="&amp;$D$7),""))</f>
        <v/>
      </c>
      <c r="F471" s="97" t="str">
        <f>IF(C471="","",IFERROR(SUMIFS(tbLancamentos[Tempo devido],tbLancamentos[Equipamento],$C471,tbLancamentos[Momento da falha],"&gt;="&amp;$C$7,tbLancamentos[Momento da falha],"&lt;="&amp;$D$7),""))</f>
        <v/>
      </c>
      <c r="G47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1" s="127" t="str">
        <f t="shared" si="9"/>
        <v/>
      </c>
    </row>
    <row r="472" spans="2:9" ht="20.100000000000001" customHeight="1" x14ac:dyDescent="0.25">
      <c r="B472" s="94">
        <f>CadEqu!B468</f>
        <v>462</v>
      </c>
      <c r="C472" s="94" t="str">
        <f>IF(CadEqu!F468="","",CadEqu!F468)</f>
        <v/>
      </c>
      <c r="D472" s="97" t="str">
        <f>IF(C472="","",IFERROR(IF(SUMIFS(tbLancamentos[Tempo indisponível],tbLancamentos[Equipamento],$C472,tbLancamentos[Momento da falha],"&gt;="&amp;$C$7,tbLancamentos[Momento da falha],"&lt;="&amp;$D$7)&gt;$E$7,$E$7,SUMIFS(tbLancamentos[Tempo indisponível],tbLancamentos[Equipamento],$C472,tbLancamentos[Momento da falha],"&gt;="&amp;$C$7,tbLancamentos[Momento da falha],"&lt;="&amp;$D$7)),""))</f>
        <v/>
      </c>
      <c r="E472" s="97" t="str">
        <f>IF(C472="","",IFERROR(SUMIFS(tbLancamentos[Meta tempo reparo],tbLancamentos[Equipamento],$C472,tbLancamentos[Momento da falha],"&gt;="&amp;$C$7,tbLancamentos[Momento da falha],"&lt;="&amp;$D$7),""))</f>
        <v/>
      </c>
      <c r="F472" s="97" t="str">
        <f>IF(C472="","",IFERROR(SUMIFS(tbLancamentos[Tempo devido],tbLancamentos[Equipamento],$C472,tbLancamentos[Momento da falha],"&gt;="&amp;$C$7,tbLancamentos[Momento da falha],"&lt;="&amp;$D$7),""))</f>
        <v/>
      </c>
      <c r="G47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2" s="127" t="str">
        <f t="shared" si="9"/>
        <v/>
      </c>
    </row>
    <row r="473" spans="2:9" ht="20.100000000000001" customHeight="1" x14ac:dyDescent="0.25">
      <c r="B473" s="94">
        <f>CadEqu!B469</f>
        <v>463</v>
      </c>
      <c r="C473" s="94" t="str">
        <f>IF(CadEqu!F469="","",CadEqu!F469)</f>
        <v/>
      </c>
      <c r="D473" s="97" t="str">
        <f>IF(C473="","",IFERROR(IF(SUMIFS(tbLancamentos[Tempo indisponível],tbLancamentos[Equipamento],$C473,tbLancamentos[Momento da falha],"&gt;="&amp;$C$7,tbLancamentos[Momento da falha],"&lt;="&amp;$D$7)&gt;$E$7,$E$7,SUMIFS(tbLancamentos[Tempo indisponível],tbLancamentos[Equipamento],$C473,tbLancamentos[Momento da falha],"&gt;="&amp;$C$7,tbLancamentos[Momento da falha],"&lt;="&amp;$D$7)),""))</f>
        <v/>
      </c>
      <c r="E473" s="97" t="str">
        <f>IF(C473="","",IFERROR(SUMIFS(tbLancamentos[Meta tempo reparo],tbLancamentos[Equipamento],$C473,tbLancamentos[Momento da falha],"&gt;="&amp;$C$7,tbLancamentos[Momento da falha],"&lt;="&amp;$D$7),""))</f>
        <v/>
      </c>
      <c r="F473" s="97" t="str">
        <f>IF(C473="","",IFERROR(SUMIFS(tbLancamentos[Tempo devido],tbLancamentos[Equipamento],$C473,tbLancamentos[Momento da falha],"&gt;="&amp;$C$7,tbLancamentos[Momento da falha],"&lt;="&amp;$D$7),""))</f>
        <v/>
      </c>
      <c r="G47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3" s="127" t="str">
        <f t="shared" si="9"/>
        <v/>
      </c>
    </row>
    <row r="474" spans="2:9" ht="20.100000000000001" customHeight="1" x14ac:dyDescent="0.25">
      <c r="B474" s="94">
        <f>CadEqu!B470</f>
        <v>464</v>
      </c>
      <c r="C474" s="94" t="str">
        <f>IF(CadEqu!F470="","",CadEqu!F470)</f>
        <v/>
      </c>
      <c r="D474" s="97" t="str">
        <f>IF(C474="","",IFERROR(IF(SUMIFS(tbLancamentos[Tempo indisponível],tbLancamentos[Equipamento],$C474,tbLancamentos[Momento da falha],"&gt;="&amp;$C$7,tbLancamentos[Momento da falha],"&lt;="&amp;$D$7)&gt;$E$7,$E$7,SUMIFS(tbLancamentos[Tempo indisponível],tbLancamentos[Equipamento],$C474,tbLancamentos[Momento da falha],"&gt;="&amp;$C$7,tbLancamentos[Momento da falha],"&lt;="&amp;$D$7)),""))</f>
        <v/>
      </c>
      <c r="E474" s="97" t="str">
        <f>IF(C474="","",IFERROR(SUMIFS(tbLancamentos[Meta tempo reparo],tbLancamentos[Equipamento],$C474,tbLancamentos[Momento da falha],"&gt;="&amp;$C$7,tbLancamentos[Momento da falha],"&lt;="&amp;$D$7),""))</f>
        <v/>
      </c>
      <c r="F474" s="97" t="str">
        <f>IF(C474="","",IFERROR(SUMIFS(tbLancamentos[Tempo devido],tbLancamentos[Equipamento],$C474,tbLancamentos[Momento da falha],"&gt;="&amp;$C$7,tbLancamentos[Momento da falha],"&lt;="&amp;$D$7),""))</f>
        <v/>
      </c>
      <c r="G47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4" s="127" t="str">
        <f t="shared" si="9"/>
        <v/>
      </c>
    </row>
    <row r="475" spans="2:9" ht="20.100000000000001" customHeight="1" x14ac:dyDescent="0.25">
      <c r="B475" s="94">
        <f>CadEqu!B471</f>
        <v>465</v>
      </c>
      <c r="C475" s="94" t="str">
        <f>IF(CadEqu!F471="","",CadEqu!F471)</f>
        <v/>
      </c>
      <c r="D475" s="97" t="str">
        <f>IF(C475="","",IFERROR(IF(SUMIFS(tbLancamentos[Tempo indisponível],tbLancamentos[Equipamento],$C475,tbLancamentos[Momento da falha],"&gt;="&amp;$C$7,tbLancamentos[Momento da falha],"&lt;="&amp;$D$7)&gt;$E$7,$E$7,SUMIFS(tbLancamentos[Tempo indisponível],tbLancamentos[Equipamento],$C475,tbLancamentos[Momento da falha],"&gt;="&amp;$C$7,tbLancamentos[Momento da falha],"&lt;="&amp;$D$7)),""))</f>
        <v/>
      </c>
      <c r="E475" s="97" t="str">
        <f>IF(C475="","",IFERROR(SUMIFS(tbLancamentos[Meta tempo reparo],tbLancamentos[Equipamento],$C475,tbLancamentos[Momento da falha],"&gt;="&amp;$C$7,tbLancamentos[Momento da falha],"&lt;="&amp;$D$7),""))</f>
        <v/>
      </c>
      <c r="F475" s="97" t="str">
        <f>IF(C475="","",IFERROR(SUMIFS(tbLancamentos[Tempo devido],tbLancamentos[Equipamento],$C475,tbLancamentos[Momento da falha],"&gt;="&amp;$C$7,tbLancamentos[Momento da falha],"&lt;="&amp;$D$7),""))</f>
        <v/>
      </c>
      <c r="G47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5" s="127" t="str">
        <f t="shared" si="9"/>
        <v/>
      </c>
    </row>
    <row r="476" spans="2:9" ht="20.100000000000001" customHeight="1" x14ac:dyDescent="0.25">
      <c r="B476" s="94">
        <f>CadEqu!B472</f>
        <v>466</v>
      </c>
      <c r="C476" s="94" t="str">
        <f>IF(CadEqu!F472="","",CadEqu!F472)</f>
        <v/>
      </c>
      <c r="D476" s="97" t="str">
        <f>IF(C476="","",IFERROR(IF(SUMIFS(tbLancamentos[Tempo indisponível],tbLancamentos[Equipamento],$C476,tbLancamentos[Momento da falha],"&gt;="&amp;$C$7,tbLancamentos[Momento da falha],"&lt;="&amp;$D$7)&gt;$E$7,$E$7,SUMIFS(tbLancamentos[Tempo indisponível],tbLancamentos[Equipamento],$C476,tbLancamentos[Momento da falha],"&gt;="&amp;$C$7,tbLancamentos[Momento da falha],"&lt;="&amp;$D$7)),""))</f>
        <v/>
      </c>
      <c r="E476" s="97" t="str">
        <f>IF(C476="","",IFERROR(SUMIFS(tbLancamentos[Meta tempo reparo],tbLancamentos[Equipamento],$C476,tbLancamentos[Momento da falha],"&gt;="&amp;$C$7,tbLancamentos[Momento da falha],"&lt;="&amp;$D$7),""))</f>
        <v/>
      </c>
      <c r="F476" s="97" t="str">
        <f>IF(C476="","",IFERROR(SUMIFS(tbLancamentos[Tempo devido],tbLancamentos[Equipamento],$C476,tbLancamentos[Momento da falha],"&gt;="&amp;$C$7,tbLancamentos[Momento da falha],"&lt;="&amp;$D$7),""))</f>
        <v/>
      </c>
      <c r="G47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6" s="127" t="str">
        <f t="shared" si="9"/>
        <v/>
      </c>
    </row>
    <row r="477" spans="2:9" ht="20.100000000000001" customHeight="1" x14ac:dyDescent="0.25">
      <c r="B477" s="94">
        <f>CadEqu!B473</f>
        <v>467</v>
      </c>
      <c r="C477" s="94" t="str">
        <f>IF(CadEqu!F473="","",CadEqu!F473)</f>
        <v/>
      </c>
      <c r="D477" s="97" t="str">
        <f>IF(C477="","",IFERROR(IF(SUMIFS(tbLancamentos[Tempo indisponível],tbLancamentos[Equipamento],$C477,tbLancamentos[Momento da falha],"&gt;="&amp;$C$7,tbLancamentos[Momento da falha],"&lt;="&amp;$D$7)&gt;$E$7,$E$7,SUMIFS(tbLancamentos[Tempo indisponível],tbLancamentos[Equipamento],$C477,tbLancamentos[Momento da falha],"&gt;="&amp;$C$7,tbLancamentos[Momento da falha],"&lt;="&amp;$D$7)),""))</f>
        <v/>
      </c>
      <c r="E477" s="97" t="str">
        <f>IF(C477="","",IFERROR(SUMIFS(tbLancamentos[Meta tempo reparo],tbLancamentos[Equipamento],$C477,tbLancamentos[Momento da falha],"&gt;="&amp;$C$7,tbLancamentos[Momento da falha],"&lt;="&amp;$D$7),""))</f>
        <v/>
      </c>
      <c r="F477" s="97" t="str">
        <f>IF(C477="","",IFERROR(SUMIFS(tbLancamentos[Tempo devido],tbLancamentos[Equipamento],$C477,tbLancamentos[Momento da falha],"&gt;="&amp;$C$7,tbLancamentos[Momento da falha],"&lt;="&amp;$D$7),""))</f>
        <v/>
      </c>
      <c r="G47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7" s="127" t="str">
        <f t="shared" si="9"/>
        <v/>
      </c>
    </row>
    <row r="478" spans="2:9" ht="20.100000000000001" customHeight="1" x14ac:dyDescent="0.25">
      <c r="B478" s="94">
        <f>CadEqu!B474</f>
        <v>468</v>
      </c>
      <c r="C478" s="94" t="str">
        <f>IF(CadEqu!F474="","",CadEqu!F474)</f>
        <v/>
      </c>
      <c r="D478" s="97" t="str">
        <f>IF(C478="","",IFERROR(IF(SUMIFS(tbLancamentos[Tempo indisponível],tbLancamentos[Equipamento],$C478,tbLancamentos[Momento da falha],"&gt;="&amp;$C$7,tbLancamentos[Momento da falha],"&lt;="&amp;$D$7)&gt;$E$7,$E$7,SUMIFS(tbLancamentos[Tempo indisponível],tbLancamentos[Equipamento],$C478,tbLancamentos[Momento da falha],"&gt;="&amp;$C$7,tbLancamentos[Momento da falha],"&lt;="&amp;$D$7)),""))</f>
        <v/>
      </c>
      <c r="E478" s="97" t="str">
        <f>IF(C478="","",IFERROR(SUMIFS(tbLancamentos[Meta tempo reparo],tbLancamentos[Equipamento],$C478,tbLancamentos[Momento da falha],"&gt;="&amp;$C$7,tbLancamentos[Momento da falha],"&lt;="&amp;$D$7),""))</f>
        <v/>
      </c>
      <c r="F478" s="97" t="str">
        <f>IF(C478="","",IFERROR(SUMIFS(tbLancamentos[Tempo devido],tbLancamentos[Equipamento],$C478,tbLancamentos[Momento da falha],"&gt;="&amp;$C$7,tbLancamentos[Momento da falha],"&lt;="&amp;$D$7),""))</f>
        <v/>
      </c>
      <c r="G47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8" s="127" t="str">
        <f t="shared" si="9"/>
        <v/>
      </c>
    </row>
    <row r="479" spans="2:9" ht="20.100000000000001" customHeight="1" x14ac:dyDescent="0.25">
      <c r="B479" s="94">
        <f>CadEqu!B475</f>
        <v>469</v>
      </c>
      <c r="C479" s="94" t="str">
        <f>IF(CadEqu!F475="","",CadEqu!F475)</f>
        <v/>
      </c>
      <c r="D479" s="97" t="str">
        <f>IF(C479="","",IFERROR(IF(SUMIFS(tbLancamentos[Tempo indisponível],tbLancamentos[Equipamento],$C479,tbLancamentos[Momento da falha],"&gt;="&amp;$C$7,tbLancamentos[Momento da falha],"&lt;="&amp;$D$7)&gt;$E$7,$E$7,SUMIFS(tbLancamentos[Tempo indisponível],tbLancamentos[Equipamento],$C479,tbLancamentos[Momento da falha],"&gt;="&amp;$C$7,tbLancamentos[Momento da falha],"&lt;="&amp;$D$7)),""))</f>
        <v/>
      </c>
      <c r="E479" s="97" t="str">
        <f>IF(C479="","",IFERROR(SUMIFS(tbLancamentos[Meta tempo reparo],tbLancamentos[Equipamento],$C479,tbLancamentos[Momento da falha],"&gt;="&amp;$C$7,tbLancamentos[Momento da falha],"&lt;="&amp;$D$7),""))</f>
        <v/>
      </c>
      <c r="F479" s="97" t="str">
        <f>IF(C479="","",IFERROR(SUMIFS(tbLancamentos[Tempo devido],tbLancamentos[Equipamento],$C479,tbLancamentos[Momento da falha],"&gt;="&amp;$C$7,tbLancamentos[Momento da falha],"&lt;="&amp;$D$7),""))</f>
        <v/>
      </c>
      <c r="G47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7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79" s="127" t="str">
        <f t="shared" si="9"/>
        <v/>
      </c>
    </row>
    <row r="480" spans="2:9" ht="20.100000000000001" customHeight="1" x14ac:dyDescent="0.25">
      <c r="B480" s="94">
        <f>CadEqu!B476</f>
        <v>470</v>
      </c>
      <c r="C480" s="94" t="str">
        <f>IF(CadEqu!F476="","",CadEqu!F476)</f>
        <v/>
      </c>
      <c r="D480" s="97" t="str">
        <f>IF(C480="","",IFERROR(IF(SUMIFS(tbLancamentos[Tempo indisponível],tbLancamentos[Equipamento],$C480,tbLancamentos[Momento da falha],"&gt;="&amp;$C$7,tbLancamentos[Momento da falha],"&lt;="&amp;$D$7)&gt;$E$7,$E$7,SUMIFS(tbLancamentos[Tempo indisponível],tbLancamentos[Equipamento],$C480,tbLancamentos[Momento da falha],"&gt;="&amp;$C$7,tbLancamentos[Momento da falha],"&lt;="&amp;$D$7)),""))</f>
        <v/>
      </c>
      <c r="E480" s="97" t="str">
        <f>IF(C480="","",IFERROR(SUMIFS(tbLancamentos[Meta tempo reparo],tbLancamentos[Equipamento],$C480,tbLancamentos[Momento da falha],"&gt;="&amp;$C$7,tbLancamentos[Momento da falha],"&lt;="&amp;$D$7),""))</f>
        <v/>
      </c>
      <c r="F480" s="97" t="str">
        <f>IF(C480="","",IFERROR(SUMIFS(tbLancamentos[Tempo devido],tbLancamentos[Equipamento],$C480,tbLancamentos[Momento da falha],"&gt;="&amp;$C$7,tbLancamentos[Momento da falha],"&lt;="&amp;$D$7),""))</f>
        <v/>
      </c>
      <c r="G48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0" s="127" t="str">
        <f t="shared" si="9"/>
        <v/>
      </c>
    </row>
    <row r="481" spans="2:9" ht="20.100000000000001" customHeight="1" x14ac:dyDescent="0.25">
      <c r="B481" s="94">
        <f>CadEqu!B477</f>
        <v>471</v>
      </c>
      <c r="C481" s="94" t="str">
        <f>IF(CadEqu!F477="","",CadEqu!F477)</f>
        <v/>
      </c>
      <c r="D481" s="97" t="str">
        <f>IF(C481="","",IFERROR(IF(SUMIFS(tbLancamentos[Tempo indisponível],tbLancamentos[Equipamento],$C481,tbLancamentos[Momento da falha],"&gt;="&amp;$C$7,tbLancamentos[Momento da falha],"&lt;="&amp;$D$7)&gt;$E$7,$E$7,SUMIFS(tbLancamentos[Tempo indisponível],tbLancamentos[Equipamento],$C481,tbLancamentos[Momento da falha],"&gt;="&amp;$C$7,tbLancamentos[Momento da falha],"&lt;="&amp;$D$7)),""))</f>
        <v/>
      </c>
      <c r="E481" s="97" t="str">
        <f>IF(C481="","",IFERROR(SUMIFS(tbLancamentos[Meta tempo reparo],tbLancamentos[Equipamento],$C481,tbLancamentos[Momento da falha],"&gt;="&amp;$C$7,tbLancamentos[Momento da falha],"&lt;="&amp;$D$7),""))</f>
        <v/>
      </c>
      <c r="F481" s="97" t="str">
        <f>IF(C481="","",IFERROR(SUMIFS(tbLancamentos[Tempo devido],tbLancamentos[Equipamento],$C481,tbLancamentos[Momento da falha],"&gt;="&amp;$C$7,tbLancamentos[Momento da falha],"&lt;="&amp;$D$7),""))</f>
        <v/>
      </c>
      <c r="G48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1" s="127" t="str">
        <f t="shared" si="9"/>
        <v/>
      </c>
    </row>
    <row r="482" spans="2:9" ht="20.100000000000001" customHeight="1" x14ac:dyDescent="0.25">
      <c r="B482" s="94">
        <f>CadEqu!B478</f>
        <v>472</v>
      </c>
      <c r="C482" s="94" t="str">
        <f>IF(CadEqu!F478="","",CadEqu!F478)</f>
        <v/>
      </c>
      <c r="D482" s="97" t="str">
        <f>IF(C482="","",IFERROR(IF(SUMIFS(tbLancamentos[Tempo indisponível],tbLancamentos[Equipamento],$C482,tbLancamentos[Momento da falha],"&gt;="&amp;$C$7,tbLancamentos[Momento da falha],"&lt;="&amp;$D$7)&gt;$E$7,$E$7,SUMIFS(tbLancamentos[Tempo indisponível],tbLancamentos[Equipamento],$C482,tbLancamentos[Momento da falha],"&gt;="&amp;$C$7,tbLancamentos[Momento da falha],"&lt;="&amp;$D$7)),""))</f>
        <v/>
      </c>
      <c r="E482" s="97" t="str">
        <f>IF(C482="","",IFERROR(SUMIFS(tbLancamentos[Meta tempo reparo],tbLancamentos[Equipamento],$C482,tbLancamentos[Momento da falha],"&gt;="&amp;$C$7,tbLancamentos[Momento da falha],"&lt;="&amp;$D$7),""))</f>
        <v/>
      </c>
      <c r="F482" s="97" t="str">
        <f>IF(C482="","",IFERROR(SUMIFS(tbLancamentos[Tempo devido],tbLancamentos[Equipamento],$C482,tbLancamentos[Momento da falha],"&gt;="&amp;$C$7,tbLancamentos[Momento da falha],"&lt;="&amp;$D$7),""))</f>
        <v/>
      </c>
      <c r="G48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2" s="127" t="str">
        <f t="shared" si="9"/>
        <v/>
      </c>
    </row>
    <row r="483" spans="2:9" ht="20.100000000000001" customHeight="1" x14ac:dyDescent="0.25">
      <c r="B483" s="94">
        <f>CadEqu!B479</f>
        <v>473</v>
      </c>
      <c r="C483" s="94" t="str">
        <f>IF(CadEqu!F479="","",CadEqu!F479)</f>
        <v/>
      </c>
      <c r="D483" s="97" t="str">
        <f>IF(C483="","",IFERROR(IF(SUMIFS(tbLancamentos[Tempo indisponível],tbLancamentos[Equipamento],$C483,tbLancamentos[Momento da falha],"&gt;="&amp;$C$7,tbLancamentos[Momento da falha],"&lt;="&amp;$D$7)&gt;$E$7,$E$7,SUMIFS(tbLancamentos[Tempo indisponível],tbLancamentos[Equipamento],$C483,tbLancamentos[Momento da falha],"&gt;="&amp;$C$7,tbLancamentos[Momento da falha],"&lt;="&amp;$D$7)),""))</f>
        <v/>
      </c>
      <c r="E483" s="97" t="str">
        <f>IF(C483="","",IFERROR(SUMIFS(tbLancamentos[Meta tempo reparo],tbLancamentos[Equipamento],$C483,tbLancamentos[Momento da falha],"&gt;="&amp;$C$7,tbLancamentos[Momento da falha],"&lt;="&amp;$D$7),""))</f>
        <v/>
      </c>
      <c r="F483" s="97" t="str">
        <f>IF(C483="","",IFERROR(SUMIFS(tbLancamentos[Tempo devido],tbLancamentos[Equipamento],$C483,tbLancamentos[Momento da falha],"&gt;="&amp;$C$7,tbLancamentos[Momento da falha],"&lt;="&amp;$D$7),""))</f>
        <v/>
      </c>
      <c r="G48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3" s="127" t="str">
        <f t="shared" si="9"/>
        <v/>
      </c>
    </row>
    <row r="484" spans="2:9" ht="20.100000000000001" customHeight="1" x14ac:dyDescent="0.25">
      <c r="B484" s="94">
        <f>CadEqu!B480</f>
        <v>474</v>
      </c>
      <c r="C484" s="94" t="str">
        <f>IF(CadEqu!F480="","",CadEqu!F480)</f>
        <v/>
      </c>
      <c r="D484" s="97" t="str">
        <f>IF(C484="","",IFERROR(IF(SUMIFS(tbLancamentos[Tempo indisponível],tbLancamentos[Equipamento],$C484,tbLancamentos[Momento da falha],"&gt;="&amp;$C$7,tbLancamentos[Momento da falha],"&lt;="&amp;$D$7)&gt;$E$7,$E$7,SUMIFS(tbLancamentos[Tempo indisponível],tbLancamentos[Equipamento],$C484,tbLancamentos[Momento da falha],"&gt;="&amp;$C$7,tbLancamentos[Momento da falha],"&lt;="&amp;$D$7)),""))</f>
        <v/>
      </c>
      <c r="E484" s="97" t="str">
        <f>IF(C484="","",IFERROR(SUMIFS(tbLancamentos[Meta tempo reparo],tbLancamentos[Equipamento],$C484,tbLancamentos[Momento da falha],"&gt;="&amp;$C$7,tbLancamentos[Momento da falha],"&lt;="&amp;$D$7),""))</f>
        <v/>
      </c>
      <c r="F484" s="97" t="str">
        <f>IF(C484="","",IFERROR(SUMIFS(tbLancamentos[Tempo devido],tbLancamentos[Equipamento],$C484,tbLancamentos[Momento da falha],"&gt;="&amp;$C$7,tbLancamentos[Momento da falha],"&lt;="&amp;$D$7),""))</f>
        <v/>
      </c>
      <c r="G48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4" s="127" t="str">
        <f t="shared" si="9"/>
        <v/>
      </c>
    </row>
    <row r="485" spans="2:9" ht="20.100000000000001" customHeight="1" x14ac:dyDescent="0.25">
      <c r="B485" s="94">
        <f>CadEqu!B481</f>
        <v>475</v>
      </c>
      <c r="C485" s="94" t="str">
        <f>IF(CadEqu!F481="","",CadEqu!F481)</f>
        <v/>
      </c>
      <c r="D485" s="97" t="str">
        <f>IF(C485="","",IFERROR(IF(SUMIFS(tbLancamentos[Tempo indisponível],tbLancamentos[Equipamento],$C485,tbLancamentos[Momento da falha],"&gt;="&amp;$C$7,tbLancamentos[Momento da falha],"&lt;="&amp;$D$7)&gt;$E$7,$E$7,SUMIFS(tbLancamentos[Tempo indisponível],tbLancamentos[Equipamento],$C485,tbLancamentos[Momento da falha],"&gt;="&amp;$C$7,tbLancamentos[Momento da falha],"&lt;="&amp;$D$7)),""))</f>
        <v/>
      </c>
      <c r="E485" s="97" t="str">
        <f>IF(C485="","",IFERROR(SUMIFS(tbLancamentos[Meta tempo reparo],tbLancamentos[Equipamento],$C485,tbLancamentos[Momento da falha],"&gt;="&amp;$C$7,tbLancamentos[Momento da falha],"&lt;="&amp;$D$7),""))</f>
        <v/>
      </c>
      <c r="F485" s="97" t="str">
        <f>IF(C485="","",IFERROR(SUMIFS(tbLancamentos[Tempo devido],tbLancamentos[Equipamento],$C485,tbLancamentos[Momento da falha],"&gt;="&amp;$C$7,tbLancamentos[Momento da falha],"&lt;="&amp;$D$7),""))</f>
        <v/>
      </c>
      <c r="G48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5" s="127" t="str">
        <f t="shared" si="9"/>
        <v/>
      </c>
    </row>
    <row r="486" spans="2:9" ht="20.100000000000001" customHeight="1" x14ac:dyDescent="0.25">
      <c r="B486" s="94">
        <f>CadEqu!B482</f>
        <v>476</v>
      </c>
      <c r="C486" s="94" t="str">
        <f>IF(CadEqu!F482="","",CadEqu!F482)</f>
        <v/>
      </c>
      <c r="D486" s="97" t="str">
        <f>IF(C486="","",IFERROR(IF(SUMIFS(tbLancamentos[Tempo indisponível],tbLancamentos[Equipamento],$C486,tbLancamentos[Momento da falha],"&gt;="&amp;$C$7,tbLancamentos[Momento da falha],"&lt;="&amp;$D$7)&gt;$E$7,$E$7,SUMIFS(tbLancamentos[Tempo indisponível],tbLancamentos[Equipamento],$C486,tbLancamentos[Momento da falha],"&gt;="&amp;$C$7,tbLancamentos[Momento da falha],"&lt;="&amp;$D$7)),""))</f>
        <v/>
      </c>
      <c r="E486" s="97" t="str">
        <f>IF(C486="","",IFERROR(SUMIFS(tbLancamentos[Meta tempo reparo],tbLancamentos[Equipamento],$C486,tbLancamentos[Momento da falha],"&gt;="&amp;$C$7,tbLancamentos[Momento da falha],"&lt;="&amp;$D$7),""))</f>
        <v/>
      </c>
      <c r="F486" s="97" t="str">
        <f>IF(C486="","",IFERROR(SUMIFS(tbLancamentos[Tempo devido],tbLancamentos[Equipamento],$C486,tbLancamentos[Momento da falha],"&gt;="&amp;$C$7,tbLancamentos[Momento da falha],"&lt;="&amp;$D$7),""))</f>
        <v/>
      </c>
      <c r="G48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6" s="127" t="str">
        <f t="shared" si="9"/>
        <v/>
      </c>
    </row>
    <row r="487" spans="2:9" ht="20.100000000000001" customHeight="1" x14ac:dyDescent="0.25">
      <c r="B487" s="94">
        <f>CadEqu!B483</f>
        <v>477</v>
      </c>
      <c r="C487" s="94" t="str">
        <f>IF(CadEqu!F483="","",CadEqu!F483)</f>
        <v/>
      </c>
      <c r="D487" s="97" t="str">
        <f>IF(C487="","",IFERROR(IF(SUMIFS(tbLancamentos[Tempo indisponível],tbLancamentos[Equipamento],$C487,tbLancamentos[Momento da falha],"&gt;="&amp;$C$7,tbLancamentos[Momento da falha],"&lt;="&amp;$D$7)&gt;$E$7,$E$7,SUMIFS(tbLancamentos[Tempo indisponível],tbLancamentos[Equipamento],$C487,tbLancamentos[Momento da falha],"&gt;="&amp;$C$7,tbLancamentos[Momento da falha],"&lt;="&amp;$D$7)),""))</f>
        <v/>
      </c>
      <c r="E487" s="97" t="str">
        <f>IF(C487="","",IFERROR(SUMIFS(tbLancamentos[Meta tempo reparo],tbLancamentos[Equipamento],$C487,tbLancamentos[Momento da falha],"&gt;="&amp;$C$7,tbLancamentos[Momento da falha],"&lt;="&amp;$D$7),""))</f>
        <v/>
      </c>
      <c r="F487" s="97" t="str">
        <f>IF(C487="","",IFERROR(SUMIFS(tbLancamentos[Tempo devido],tbLancamentos[Equipamento],$C487,tbLancamentos[Momento da falha],"&gt;="&amp;$C$7,tbLancamentos[Momento da falha],"&lt;="&amp;$D$7),""))</f>
        <v/>
      </c>
      <c r="G48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7" s="127" t="str">
        <f t="shared" si="9"/>
        <v/>
      </c>
    </row>
    <row r="488" spans="2:9" ht="20.100000000000001" customHeight="1" x14ac:dyDescent="0.25">
      <c r="B488" s="94">
        <f>CadEqu!B484</f>
        <v>478</v>
      </c>
      <c r="C488" s="94" t="str">
        <f>IF(CadEqu!F484="","",CadEqu!F484)</f>
        <v/>
      </c>
      <c r="D488" s="97" t="str">
        <f>IF(C488="","",IFERROR(IF(SUMIFS(tbLancamentos[Tempo indisponível],tbLancamentos[Equipamento],$C488,tbLancamentos[Momento da falha],"&gt;="&amp;$C$7,tbLancamentos[Momento da falha],"&lt;="&amp;$D$7)&gt;$E$7,$E$7,SUMIFS(tbLancamentos[Tempo indisponível],tbLancamentos[Equipamento],$C488,tbLancamentos[Momento da falha],"&gt;="&amp;$C$7,tbLancamentos[Momento da falha],"&lt;="&amp;$D$7)),""))</f>
        <v/>
      </c>
      <c r="E488" s="97" t="str">
        <f>IF(C488="","",IFERROR(SUMIFS(tbLancamentos[Meta tempo reparo],tbLancamentos[Equipamento],$C488,tbLancamentos[Momento da falha],"&gt;="&amp;$C$7,tbLancamentos[Momento da falha],"&lt;="&amp;$D$7),""))</f>
        <v/>
      </c>
      <c r="F488" s="97" t="str">
        <f>IF(C488="","",IFERROR(SUMIFS(tbLancamentos[Tempo devido],tbLancamentos[Equipamento],$C488,tbLancamentos[Momento da falha],"&gt;="&amp;$C$7,tbLancamentos[Momento da falha],"&lt;="&amp;$D$7),""))</f>
        <v/>
      </c>
      <c r="G48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8" s="127" t="str">
        <f t="shared" si="9"/>
        <v/>
      </c>
    </row>
    <row r="489" spans="2:9" ht="20.100000000000001" customHeight="1" x14ac:dyDescent="0.25">
      <c r="B489" s="94">
        <f>CadEqu!B485</f>
        <v>479</v>
      </c>
      <c r="C489" s="94" t="str">
        <f>IF(CadEqu!F485="","",CadEqu!F485)</f>
        <v/>
      </c>
      <c r="D489" s="97" t="str">
        <f>IF(C489="","",IFERROR(IF(SUMIFS(tbLancamentos[Tempo indisponível],tbLancamentos[Equipamento],$C489,tbLancamentos[Momento da falha],"&gt;="&amp;$C$7,tbLancamentos[Momento da falha],"&lt;="&amp;$D$7)&gt;$E$7,$E$7,SUMIFS(tbLancamentos[Tempo indisponível],tbLancamentos[Equipamento],$C489,tbLancamentos[Momento da falha],"&gt;="&amp;$C$7,tbLancamentos[Momento da falha],"&lt;="&amp;$D$7)),""))</f>
        <v/>
      </c>
      <c r="E489" s="97" t="str">
        <f>IF(C489="","",IFERROR(SUMIFS(tbLancamentos[Meta tempo reparo],tbLancamentos[Equipamento],$C489,tbLancamentos[Momento da falha],"&gt;="&amp;$C$7,tbLancamentos[Momento da falha],"&lt;="&amp;$D$7),""))</f>
        <v/>
      </c>
      <c r="F489" s="97" t="str">
        <f>IF(C489="","",IFERROR(SUMIFS(tbLancamentos[Tempo devido],tbLancamentos[Equipamento],$C489,tbLancamentos[Momento da falha],"&gt;="&amp;$C$7,tbLancamentos[Momento da falha],"&lt;="&amp;$D$7),""))</f>
        <v/>
      </c>
      <c r="G48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8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89" s="127" t="str">
        <f t="shared" si="9"/>
        <v/>
      </c>
    </row>
    <row r="490" spans="2:9" ht="20.100000000000001" customHeight="1" x14ac:dyDescent="0.25">
      <c r="B490" s="94">
        <f>CadEqu!B486</f>
        <v>480</v>
      </c>
      <c r="C490" s="94" t="str">
        <f>IF(CadEqu!F486="","",CadEqu!F486)</f>
        <v/>
      </c>
      <c r="D490" s="97" t="str">
        <f>IF(C490="","",IFERROR(IF(SUMIFS(tbLancamentos[Tempo indisponível],tbLancamentos[Equipamento],$C490,tbLancamentos[Momento da falha],"&gt;="&amp;$C$7,tbLancamentos[Momento da falha],"&lt;="&amp;$D$7)&gt;$E$7,$E$7,SUMIFS(tbLancamentos[Tempo indisponível],tbLancamentos[Equipamento],$C490,tbLancamentos[Momento da falha],"&gt;="&amp;$C$7,tbLancamentos[Momento da falha],"&lt;="&amp;$D$7)),""))</f>
        <v/>
      </c>
      <c r="E490" s="97" t="str">
        <f>IF(C490="","",IFERROR(SUMIFS(tbLancamentos[Meta tempo reparo],tbLancamentos[Equipamento],$C490,tbLancamentos[Momento da falha],"&gt;="&amp;$C$7,tbLancamentos[Momento da falha],"&lt;="&amp;$D$7),""))</f>
        <v/>
      </c>
      <c r="F490" s="97" t="str">
        <f>IF(C490="","",IFERROR(SUMIFS(tbLancamentos[Tempo devido],tbLancamentos[Equipamento],$C490,tbLancamentos[Momento da falha],"&gt;="&amp;$C$7,tbLancamentos[Momento da falha],"&lt;="&amp;$D$7),""))</f>
        <v/>
      </c>
      <c r="G49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0" s="127" t="str">
        <f t="shared" si="9"/>
        <v/>
      </c>
    </row>
    <row r="491" spans="2:9" ht="20.100000000000001" customHeight="1" x14ac:dyDescent="0.25">
      <c r="B491" s="94">
        <f>CadEqu!B487</f>
        <v>481</v>
      </c>
      <c r="C491" s="94" t="str">
        <f>IF(CadEqu!F487="","",CadEqu!F487)</f>
        <v/>
      </c>
      <c r="D491" s="97" t="str">
        <f>IF(C491="","",IFERROR(IF(SUMIFS(tbLancamentos[Tempo indisponível],tbLancamentos[Equipamento],$C491,tbLancamentos[Momento da falha],"&gt;="&amp;$C$7,tbLancamentos[Momento da falha],"&lt;="&amp;$D$7)&gt;$E$7,$E$7,SUMIFS(tbLancamentos[Tempo indisponível],tbLancamentos[Equipamento],$C491,tbLancamentos[Momento da falha],"&gt;="&amp;$C$7,tbLancamentos[Momento da falha],"&lt;="&amp;$D$7)),""))</f>
        <v/>
      </c>
      <c r="E491" s="97" t="str">
        <f>IF(C491="","",IFERROR(SUMIFS(tbLancamentos[Meta tempo reparo],tbLancamentos[Equipamento],$C491,tbLancamentos[Momento da falha],"&gt;="&amp;$C$7,tbLancamentos[Momento da falha],"&lt;="&amp;$D$7),""))</f>
        <v/>
      </c>
      <c r="F491" s="97" t="str">
        <f>IF(C491="","",IFERROR(SUMIFS(tbLancamentos[Tempo devido],tbLancamentos[Equipamento],$C491,tbLancamentos[Momento da falha],"&gt;="&amp;$C$7,tbLancamentos[Momento da falha],"&lt;="&amp;$D$7),""))</f>
        <v/>
      </c>
      <c r="G49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1" s="127" t="str">
        <f t="shared" si="9"/>
        <v/>
      </c>
    </row>
    <row r="492" spans="2:9" ht="20.100000000000001" customHeight="1" x14ac:dyDescent="0.25">
      <c r="B492" s="94">
        <f>CadEqu!B488</f>
        <v>482</v>
      </c>
      <c r="C492" s="94" t="str">
        <f>IF(CadEqu!F488="","",CadEqu!F488)</f>
        <v/>
      </c>
      <c r="D492" s="97" t="str">
        <f>IF(C492="","",IFERROR(IF(SUMIFS(tbLancamentos[Tempo indisponível],tbLancamentos[Equipamento],$C492,tbLancamentos[Momento da falha],"&gt;="&amp;$C$7,tbLancamentos[Momento da falha],"&lt;="&amp;$D$7)&gt;$E$7,$E$7,SUMIFS(tbLancamentos[Tempo indisponível],tbLancamentos[Equipamento],$C492,tbLancamentos[Momento da falha],"&gt;="&amp;$C$7,tbLancamentos[Momento da falha],"&lt;="&amp;$D$7)),""))</f>
        <v/>
      </c>
      <c r="E492" s="97" t="str">
        <f>IF(C492="","",IFERROR(SUMIFS(tbLancamentos[Meta tempo reparo],tbLancamentos[Equipamento],$C492,tbLancamentos[Momento da falha],"&gt;="&amp;$C$7,tbLancamentos[Momento da falha],"&lt;="&amp;$D$7),""))</f>
        <v/>
      </c>
      <c r="F492" s="97" t="str">
        <f>IF(C492="","",IFERROR(SUMIFS(tbLancamentos[Tempo devido],tbLancamentos[Equipamento],$C492,tbLancamentos[Momento da falha],"&gt;="&amp;$C$7,tbLancamentos[Momento da falha],"&lt;="&amp;$D$7),""))</f>
        <v/>
      </c>
      <c r="G49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2" s="127" t="str">
        <f t="shared" si="9"/>
        <v/>
      </c>
    </row>
    <row r="493" spans="2:9" ht="20.100000000000001" customHeight="1" x14ac:dyDescent="0.25">
      <c r="B493" s="94">
        <f>CadEqu!B489</f>
        <v>483</v>
      </c>
      <c r="C493" s="94" t="str">
        <f>IF(CadEqu!F489="","",CadEqu!F489)</f>
        <v/>
      </c>
      <c r="D493" s="97" t="str">
        <f>IF(C493="","",IFERROR(IF(SUMIFS(tbLancamentos[Tempo indisponível],tbLancamentos[Equipamento],$C493,tbLancamentos[Momento da falha],"&gt;="&amp;$C$7,tbLancamentos[Momento da falha],"&lt;="&amp;$D$7)&gt;$E$7,$E$7,SUMIFS(tbLancamentos[Tempo indisponível],tbLancamentos[Equipamento],$C493,tbLancamentos[Momento da falha],"&gt;="&amp;$C$7,tbLancamentos[Momento da falha],"&lt;="&amp;$D$7)),""))</f>
        <v/>
      </c>
      <c r="E493" s="97" t="str">
        <f>IF(C493="","",IFERROR(SUMIFS(tbLancamentos[Meta tempo reparo],tbLancamentos[Equipamento],$C493,tbLancamentos[Momento da falha],"&gt;="&amp;$C$7,tbLancamentos[Momento da falha],"&lt;="&amp;$D$7),""))</f>
        <v/>
      </c>
      <c r="F493" s="97" t="str">
        <f>IF(C493="","",IFERROR(SUMIFS(tbLancamentos[Tempo devido],tbLancamentos[Equipamento],$C493,tbLancamentos[Momento da falha],"&gt;="&amp;$C$7,tbLancamentos[Momento da falha],"&lt;="&amp;$D$7),""))</f>
        <v/>
      </c>
      <c r="G49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3" s="127" t="str">
        <f t="shared" si="9"/>
        <v/>
      </c>
    </row>
    <row r="494" spans="2:9" ht="20.100000000000001" customHeight="1" x14ac:dyDescent="0.25">
      <c r="B494" s="94">
        <f>CadEqu!B490</f>
        <v>484</v>
      </c>
      <c r="C494" s="94" t="str">
        <f>IF(CadEqu!F490="","",CadEqu!F490)</f>
        <v/>
      </c>
      <c r="D494" s="97" t="str">
        <f>IF(C494="","",IFERROR(IF(SUMIFS(tbLancamentos[Tempo indisponível],tbLancamentos[Equipamento],$C494,tbLancamentos[Momento da falha],"&gt;="&amp;$C$7,tbLancamentos[Momento da falha],"&lt;="&amp;$D$7)&gt;$E$7,$E$7,SUMIFS(tbLancamentos[Tempo indisponível],tbLancamentos[Equipamento],$C494,tbLancamentos[Momento da falha],"&gt;="&amp;$C$7,tbLancamentos[Momento da falha],"&lt;="&amp;$D$7)),""))</f>
        <v/>
      </c>
      <c r="E494" s="97" t="str">
        <f>IF(C494="","",IFERROR(SUMIFS(tbLancamentos[Meta tempo reparo],tbLancamentos[Equipamento],$C494,tbLancamentos[Momento da falha],"&gt;="&amp;$C$7,tbLancamentos[Momento da falha],"&lt;="&amp;$D$7),""))</f>
        <v/>
      </c>
      <c r="F494" s="97" t="str">
        <f>IF(C494="","",IFERROR(SUMIFS(tbLancamentos[Tempo devido],tbLancamentos[Equipamento],$C494,tbLancamentos[Momento da falha],"&gt;="&amp;$C$7,tbLancamentos[Momento da falha],"&lt;="&amp;$D$7),""))</f>
        <v/>
      </c>
      <c r="G49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4" s="127" t="str">
        <f t="shared" si="9"/>
        <v/>
      </c>
    </row>
    <row r="495" spans="2:9" ht="20.100000000000001" customHeight="1" x14ac:dyDescent="0.25">
      <c r="B495" s="94">
        <f>CadEqu!B491</f>
        <v>485</v>
      </c>
      <c r="C495" s="94" t="str">
        <f>IF(CadEqu!F491="","",CadEqu!F491)</f>
        <v/>
      </c>
      <c r="D495" s="97" t="str">
        <f>IF(C495="","",IFERROR(IF(SUMIFS(tbLancamentos[Tempo indisponível],tbLancamentos[Equipamento],$C495,tbLancamentos[Momento da falha],"&gt;="&amp;$C$7,tbLancamentos[Momento da falha],"&lt;="&amp;$D$7)&gt;$E$7,$E$7,SUMIFS(tbLancamentos[Tempo indisponível],tbLancamentos[Equipamento],$C495,tbLancamentos[Momento da falha],"&gt;="&amp;$C$7,tbLancamentos[Momento da falha],"&lt;="&amp;$D$7)),""))</f>
        <v/>
      </c>
      <c r="E495" s="97" t="str">
        <f>IF(C495="","",IFERROR(SUMIFS(tbLancamentos[Meta tempo reparo],tbLancamentos[Equipamento],$C495,tbLancamentos[Momento da falha],"&gt;="&amp;$C$7,tbLancamentos[Momento da falha],"&lt;="&amp;$D$7),""))</f>
        <v/>
      </c>
      <c r="F495" s="97" t="str">
        <f>IF(C495="","",IFERROR(SUMIFS(tbLancamentos[Tempo devido],tbLancamentos[Equipamento],$C495,tbLancamentos[Momento da falha],"&gt;="&amp;$C$7,tbLancamentos[Momento da falha],"&lt;="&amp;$D$7),""))</f>
        <v/>
      </c>
      <c r="G49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5" s="127" t="str">
        <f t="shared" si="9"/>
        <v/>
      </c>
    </row>
    <row r="496" spans="2:9" ht="20.100000000000001" customHeight="1" x14ac:dyDescent="0.25">
      <c r="B496" s="94">
        <f>CadEqu!B492</f>
        <v>486</v>
      </c>
      <c r="C496" s="94" t="str">
        <f>IF(CadEqu!F492="","",CadEqu!F492)</f>
        <v/>
      </c>
      <c r="D496" s="97" t="str">
        <f>IF(C496="","",IFERROR(IF(SUMIFS(tbLancamentos[Tempo indisponível],tbLancamentos[Equipamento],$C496,tbLancamentos[Momento da falha],"&gt;="&amp;$C$7,tbLancamentos[Momento da falha],"&lt;="&amp;$D$7)&gt;$E$7,$E$7,SUMIFS(tbLancamentos[Tempo indisponível],tbLancamentos[Equipamento],$C496,tbLancamentos[Momento da falha],"&gt;="&amp;$C$7,tbLancamentos[Momento da falha],"&lt;="&amp;$D$7)),""))</f>
        <v/>
      </c>
      <c r="E496" s="97" t="str">
        <f>IF(C496="","",IFERROR(SUMIFS(tbLancamentos[Meta tempo reparo],tbLancamentos[Equipamento],$C496,tbLancamentos[Momento da falha],"&gt;="&amp;$C$7,tbLancamentos[Momento da falha],"&lt;="&amp;$D$7),""))</f>
        <v/>
      </c>
      <c r="F496" s="97" t="str">
        <f>IF(C496="","",IFERROR(SUMIFS(tbLancamentos[Tempo devido],tbLancamentos[Equipamento],$C496,tbLancamentos[Momento da falha],"&gt;="&amp;$C$7,tbLancamentos[Momento da falha],"&lt;="&amp;$D$7),""))</f>
        <v/>
      </c>
      <c r="G49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6" s="127" t="str">
        <f t="shared" si="9"/>
        <v/>
      </c>
    </row>
    <row r="497" spans="2:9" ht="20.100000000000001" customHeight="1" x14ac:dyDescent="0.25">
      <c r="B497" s="94">
        <f>CadEqu!B493</f>
        <v>487</v>
      </c>
      <c r="C497" s="94" t="str">
        <f>IF(CadEqu!F493="","",CadEqu!F493)</f>
        <v/>
      </c>
      <c r="D497" s="97" t="str">
        <f>IF(C497="","",IFERROR(IF(SUMIFS(tbLancamentos[Tempo indisponível],tbLancamentos[Equipamento],$C497,tbLancamentos[Momento da falha],"&gt;="&amp;$C$7,tbLancamentos[Momento da falha],"&lt;="&amp;$D$7)&gt;$E$7,$E$7,SUMIFS(tbLancamentos[Tempo indisponível],tbLancamentos[Equipamento],$C497,tbLancamentos[Momento da falha],"&gt;="&amp;$C$7,tbLancamentos[Momento da falha],"&lt;="&amp;$D$7)),""))</f>
        <v/>
      </c>
      <c r="E497" s="97" t="str">
        <f>IF(C497="","",IFERROR(SUMIFS(tbLancamentos[Meta tempo reparo],tbLancamentos[Equipamento],$C497,tbLancamentos[Momento da falha],"&gt;="&amp;$C$7,tbLancamentos[Momento da falha],"&lt;="&amp;$D$7),""))</f>
        <v/>
      </c>
      <c r="F497" s="97" t="str">
        <f>IF(C497="","",IFERROR(SUMIFS(tbLancamentos[Tempo devido],tbLancamentos[Equipamento],$C497,tbLancamentos[Momento da falha],"&gt;="&amp;$C$7,tbLancamentos[Momento da falha],"&lt;="&amp;$D$7),""))</f>
        <v/>
      </c>
      <c r="G49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7" s="127" t="str">
        <f t="shared" si="9"/>
        <v/>
      </c>
    </row>
    <row r="498" spans="2:9" ht="20.100000000000001" customHeight="1" x14ac:dyDescent="0.25">
      <c r="B498" s="94">
        <f>CadEqu!B494</f>
        <v>488</v>
      </c>
      <c r="C498" s="94" t="str">
        <f>IF(CadEqu!F494="","",CadEqu!F494)</f>
        <v/>
      </c>
      <c r="D498" s="97" t="str">
        <f>IF(C498="","",IFERROR(IF(SUMIFS(tbLancamentos[Tempo indisponível],tbLancamentos[Equipamento],$C498,tbLancamentos[Momento da falha],"&gt;="&amp;$C$7,tbLancamentos[Momento da falha],"&lt;="&amp;$D$7)&gt;$E$7,$E$7,SUMIFS(tbLancamentos[Tempo indisponível],tbLancamentos[Equipamento],$C498,tbLancamentos[Momento da falha],"&gt;="&amp;$C$7,tbLancamentos[Momento da falha],"&lt;="&amp;$D$7)),""))</f>
        <v/>
      </c>
      <c r="E498" s="97" t="str">
        <f>IF(C498="","",IFERROR(SUMIFS(tbLancamentos[Meta tempo reparo],tbLancamentos[Equipamento],$C498,tbLancamentos[Momento da falha],"&gt;="&amp;$C$7,tbLancamentos[Momento da falha],"&lt;="&amp;$D$7),""))</f>
        <v/>
      </c>
      <c r="F498" s="97" t="str">
        <f>IF(C498="","",IFERROR(SUMIFS(tbLancamentos[Tempo devido],tbLancamentos[Equipamento],$C498,tbLancamentos[Momento da falha],"&gt;="&amp;$C$7,tbLancamentos[Momento da falha],"&lt;="&amp;$D$7),""))</f>
        <v/>
      </c>
      <c r="G49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8" s="127" t="str">
        <f t="shared" si="9"/>
        <v/>
      </c>
    </row>
    <row r="499" spans="2:9" ht="20.100000000000001" customHeight="1" x14ac:dyDescent="0.25">
      <c r="B499" s="94">
        <f>CadEqu!B495</f>
        <v>489</v>
      </c>
      <c r="C499" s="94" t="str">
        <f>IF(CadEqu!F495="","",CadEqu!F495)</f>
        <v/>
      </c>
      <c r="D499" s="97" t="str">
        <f>IF(C499="","",IFERROR(IF(SUMIFS(tbLancamentos[Tempo indisponível],tbLancamentos[Equipamento],$C499,tbLancamentos[Momento da falha],"&gt;="&amp;$C$7,tbLancamentos[Momento da falha],"&lt;="&amp;$D$7)&gt;$E$7,$E$7,SUMIFS(tbLancamentos[Tempo indisponível],tbLancamentos[Equipamento],$C499,tbLancamentos[Momento da falha],"&gt;="&amp;$C$7,tbLancamentos[Momento da falha],"&lt;="&amp;$D$7)),""))</f>
        <v/>
      </c>
      <c r="E499" s="97" t="str">
        <f>IF(C499="","",IFERROR(SUMIFS(tbLancamentos[Meta tempo reparo],tbLancamentos[Equipamento],$C499,tbLancamentos[Momento da falha],"&gt;="&amp;$C$7,tbLancamentos[Momento da falha],"&lt;="&amp;$D$7),""))</f>
        <v/>
      </c>
      <c r="F499" s="97" t="str">
        <f>IF(C499="","",IFERROR(SUMIFS(tbLancamentos[Tempo devido],tbLancamentos[Equipamento],$C499,tbLancamentos[Momento da falha],"&gt;="&amp;$C$7,tbLancamentos[Momento da falha],"&lt;="&amp;$D$7),""))</f>
        <v/>
      </c>
      <c r="G49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49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499" s="127" t="str">
        <f t="shared" si="9"/>
        <v/>
      </c>
    </row>
    <row r="500" spans="2:9" ht="20.100000000000001" customHeight="1" x14ac:dyDescent="0.25">
      <c r="B500" s="94">
        <f>CadEqu!B496</f>
        <v>490</v>
      </c>
      <c r="C500" s="94" t="str">
        <f>IF(CadEqu!F496="","",CadEqu!F496)</f>
        <v/>
      </c>
      <c r="D500" s="97" t="str">
        <f>IF(C500="","",IFERROR(IF(SUMIFS(tbLancamentos[Tempo indisponível],tbLancamentos[Equipamento],$C500,tbLancamentos[Momento da falha],"&gt;="&amp;$C$7,tbLancamentos[Momento da falha],"&lt;="&amp;$D$7)&gt;$E$7,$E$7,SUMIFS(tbLancamentos[Tempo indisponível],tbLancamentos[Equipamento],$C500,tbLancamentos[Momento da falha],"&gt;="&amp;$C$7,tbLancamentos[Momento da falha],"&lt;="&amp;$D$7)),""))</f>
        <v/>
      </c>
      <c r="E500" s="97" t="str">
        <f>IF(C500="","",IFERROR(SUMIFS(tbLancamentos[Meta tempo reparo],tbLancamentos[Equipamento],$C500,tbLancamentos[Momento da falha],"&gt;="&amp;$C$7,tbLancamentos[Momento da falha],"&lt;="&amp;$D$7),""))</f>
        <v/>
      </c>
      <c r="F500" s="97" t="str">
        <f>IF(C500="","",IFERROR(SUMIFS(tbLancamentos[Tempo devido],tbLancamentos[Equipamento],$C500,tbLancamentos[Momento da falha],"&gt;="&amp;$C$7,tbLancamentos[Momento da falha],"&lt;="&amp;$D$7),""))</f>
        <v/>
      </c>
      <c r="G50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0" s="127" t="str">
        <f t="shared" si="9"/>
        <v/>
      </c>
    </row>
    <row r="501" spans="2:9" ht="20.100000000000001" customHeight="1" x14ac:dyDescent="0.25">
      <c r="B501" s="94">
        <f>CadEqu!B497</f>
        <v>491</v>
      </c>
      <c r="C501" s="94" t="str">
        <f>IF(CadEqu!F497="","",CadEqu!F497)</f>
        <v/>
      </c>
      <c r="D501" s="97" t="str">
        <f>IF(C501="","",IFERROR(IF(SUMIFS(tbLancamentos[Tempo indisponível],tbLancamentos[Equipamento],$C501,tbLancamentos[Momento da falha],"&gt;="&amp;$C$7,tbLancamentos[Momento da falha],"&lt;="&amp;$D$7)&gt;$E$7,$E$7,SUMIFS(tbLancamentos[Tempo indisponível],tbLancamentos[Equipamento],$C501,tbLancamentos[Momento da falha],"&gt;="&amp;$C$7,tbLancamentos[Momento da falha],"&lt;="&amp;$D$7)),""))</f>
        <v/>
      </c>
      <c r="E501" s="97" t="str">
        <f>IF(C501="","",IFERROR(SUMIFS(tbLancamentos[Meta tempo reparo],tbLancamentos[Equipamento],$C501,tbLancamentos[Momento da falha],"&gt;="&amp;$C$7,tbLancamentos[Momento da falha],"&lt;="&amp;$D$7),""))</f>
        <v/>
      </c>
      <c r="F501" s="97" t="str">
        <f>IF(C501="","",IFERROR(SUMIFS(tbLancamentos[Tempo devido],tbLancamentos[Equipamento],$C501,tbLancamentos[Momento da falha],"&gt;="&amp;$C$7,tbLancamentos[Momento da falha],"&lt;="&amp;$D$7),""))</f>
        <v/>
      </c>
      <c r="G501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1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1" s="127" t="str">
        <f t="shared" si="9"/>
        <v/>
      </c>
    </row>
    <row r="502" spans="2:9" ht="20.100000000000001" customHeight="1" x14ac:dyDescent="0.25">
      <c r="B502" s="94">
        <f>CadEqu!B498</f>
        <v>492</v>
      </c>
      <c r="C502" s="94" t="str">
        <f>IF(CadEqu!F498="","",CadEqu!F498)</f>
        <v/>
      </c>
      <c r="D502" s="97" t="str">
        <f>IF(C502="","",IFERROR(IF(SUMIFS(tbLancamentos[Tempo indisponível],tbLancamentos[Equipamento],$C502,tbLancamentos[Momento da falha],"&gt;="&amp;$C$7,tbLancamentos[Momento da falha],"&lt;="&amp;$D$7)&gt;$E$7,$E$7,SUMIFS(tbLancamentos[Tempo indisponível],tbLancamentos[Equipamento],$C502,tbLancamentos[Momento da falha],"&gt;="&amp;$C$7,tbLancamentos[Momento da falha],"&lt;="&amp;$D$7)),""))</f>
        <v/>
      </c>
      <c r="E502" s="97" t="str">
        <f>IF(C502="","",IFERROR(SUMIFS(tbLancamentos[Meta tempo reparo],tbLancamentos[Equipamento],$C502,tbLancamentos[Momento da falha],"&gt;="&amp;$C$7,tbLancamentos[Momento da falha],"&lt;="&amp;$D$7),""))</f>
        <v/>
      </c>
      <c r="F502" s="97" t="str">
        <f>IF(C502="","",IFERROR(SUMIFS(tbLancamentos[Tempo devido],tbLancamentos[Equipamento],$C502,tbLancamentos[Momento da falha],"&gt;="&amp;$C$7,tbLancamentos[Momento da falha],"&lt;="&amp;$D$7),""))</f>
        <v/>
      </c>
      <c r="G502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2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2" s="127" t="str">
        <f t="shared" si="9"/>
        <v/>
      </c>
    </row>
    <row r="503" spans="2:9" ht="20.100000000000001" customHeight="1" x14ac:dyDescent="0.25">
      <c r="B503" s="94">
        <f>CadEqu!B499</f>
        <v>493</v>
      </c>
      <c r="C503" s="94" t="str">
        <f>IF(CadEqu!F499="","",CadEqu!F499)</f>
        <v/>
      </c>
      <c r="D503" s="97" t="str">
        <f>IF(C503="","",IFERROR(IF(SUMIFS(tbLancamentos[Tempo indisponível],tbLancamentos[Equipamento],$C503,tbLancamentos[Momento da falha],"&gt;="&amp;$C$7,tbLancamentos[Momento da falha],"&lt;="&amp;$D$7)&gt;$E$7,$E$7,SUMIFS(tbLancamentos[Tempo indisponível],tbLancamentos[Equipamento],$C503,tbLancamentos[Momento da falha],"&gt;="&amp;$C$7,tbLancamentos[Momento da falha],"&lt;="&amp;$D$7)),""))</f>
        <v/>
      </c>
      <c r="E503" s="97" t="str">
        <f>IF(C503="","",IFERROR(SUMIFS(tbLancamentos[Meta tempo reparo],tbLancamentos[Equipamento],$C503,tbLancamentos[Momento da falha],"&gt;="&amp;$C$7,tbLancamentos[Momento da falha],"&lt;="&amp;$D$7),""))</f>
        <v/>
      </c>
      <c r="F503" s="97" t="str">
        <f>IF(C503="","",IFERROR(SUMIFS(tbLancamentos[Tempo devido],tbLancamentos[Equipamento],$C503,tbLancamentos[Momento da falha],"&gt;="&amp;$C$7,tbLancamentos[Momento da falha],"&lt;="&amp;$D$7),""))</f>
        <v/>
      </c>
      <c r="G503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3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3" s="127" t="str">
        <f t="shared" si="9"/>
        <v/>
      </c>
    </row>
    <row r="504" spans="2:9" ht="20.100000000000001" customHeight="1" x14ac:dyDescent="0.25">
      <c r="B504" s="94">
        <f>CadEqu!B500</f>
        <v>494</v>
      </c>
      <c r="C504" s="94" t="str">
        <f>IF(CadEqu!F500="","",CadEqu!F500)</f>
        <v/>
      </c>
      <c r="D504" s="97" t="str">
        <f>IF(C504="","",IFERROR(IF(SUMIFS(tbLancamentos[Tempo indisponível],tbLancamentos[Equipamento],$C504,tbLancamentos[Momento da falha],"&gt;="&amp;$C$7,tbLancamentos[Momento da falha],"&lt;="&amp;$D$7)&gt;$E$7,$E$7,SUMIFS(tbLancamentos[Tempo indisponível],tbLancamentos[Equipamento],$C504,tbLancamentos[Momento da falha],"&gt;="&amp;$C$7,tbLancamentos[Momento da falha],"&lt;="&amp;$D$7)),""))</f>
        <v/>
      </c>
      <c r="E504" s="97" t="str">
        <f>IF(C504="","",IFERROR(SUMIFS(tbLancamentos[Meta tempo reparo],tbLancamentos[Equipamento],$C504,tbLancamentos[Momento da falha],"&gt;="&amp;$C$7,tbLancamentos[Momento da falha],"&lt;="&amp;$D$7),""))</f>
        <v/>
      </c>
      <c r="F504" s="97" t="str">
        <f>IF(C504="","",IFERROR(SUMIFS(tbLancamentos[Tempo devido],tbLancamentos[Equipamento],$C504,tbLancamentos[Momento da falha],"&gt;="&amp;$C$7,tbLancamentos[Momento da falha],"&lt;="&amp;$D$7),""))</f>
        <v/>
      </c>
      <c r="G504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4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4" s="127" t="str">
        <f t="shared" si="9"/>
        <v/>
      </c>
    </row>
    <row r="505" spans="2:9" ht="20.100000000000001" customHeight="1" x14ac:dyDescent="0.25">
      <c r="B505" s="94">
        <f>CadEqu!B501</f>
        <v>495</v>
      </c>
      <c r="C505" s="94" t="str">
        <f>IF(CadEqu!F501="","",CadEqu!F501)</f>
        <v/>
      </c>
      <c r="D505" s="97" t="str">
        <f>IF(C505="","",IFERROR(IF(SUMIFS(tbLancamentos[Tempo indisponível],tbLancamentos[Equipamento],$C505,tbLancamentos[Momento da falha],"&gt;="&amp;$C$7,tbLancamentos[Momento da falha],"&lt;="&amp;$D$7)&gt;$E$7,$E$7,SUMIFS(tbLancamentos[Tempo indisponível],tbLancamentos[Equipamento],$C505,tbLancamentos[Momento da falha],"&gt;="&amp;$C$7,tbLancamentos[Momento da falha],"&lt;="&amp;$D$7)),""))</f>
        <v/>
      </c>
      <c r="E505" s="97" t="str">
        <f>IF(C505="","",IFERROR(SUMIFS(tbLancamentos[Meta tempo reparo],tbLancamentos[Equipamento],$C505,tbLancamentos[Momento da falha],"&gt;="&amp;$C$7,tbLancamentos[Momento da falha],"&lt;="&amp;$D$7),""))</f>
        <v/>
      </c>
      <c r="F505" s="97" t="str">
        <f>IF(C505="","",IFERROR(SUMIFS(tbLancamentos[Tempo devido],tbLancamentos[Equipamento],$C505,tbLancamentos[Momento da falha],"&gt;="&amp;$C$7,tbLancamentos[Momento da falha],"&lt;="&amp;$D$7),""))</f>
        <v/>
      </c>
      <c r="G505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5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5" s="127" t="str">
        <f t="shared" si="9"/>
        <v/>
      </c>
    </row>
    <row r="506" spans="2:9" ht="20.100000000000001" customHeight="1" x14ac:dyDescent="0.25">
      <c r="B506" s="94">
        <f>CadEqu!B502</f>
        <v>496</v>
      </c>
      <c r="C506" s="94" t="str">
        <f>IF(CadEqu!F502="","",CadEqu!F502)</f>
        <v/>
      </c>
      <c r="D506" s="97" t="str">
        <f>IF(C506="","",IFERROR(IF(SUMIFS(tbLancamentos[Tempo indisponível],tbLancamentos[Equipamento],$C506,tbLancamentos[Momento da falha],"&gt;="&amp;$C$7,tbLancamentos[Momento da falha],"&lt;="&amp;$D$7)&gt;$E$7,$E$7,SUMIFS(tbLancamentos[Tempo indisponível],tbLancamentos[Equipamento],$C506,tbLancamentos[Momento da falha],"&gt;="&amp;$C$7,tbLancamentos[Momento da falha],"&lt;="&amp;$D$7)),""))</f>
        <v/>
      </c>
      <c r="E506" s="97" t="str">
        <f>IF(C506="","",IFERROR(SUMIFS(tbLancamentos[Meta tempo reparo],tbLancamentos[Equipamento],$C506,tbLancamentos[Momento da falha],"&gt;="&amp;$C$7,tbLancamentos[Momento da falha],"&lt;="&amp;$D$7),""))</f>
        <v/>
      </c>
      <c r="F506" s="97" t="str">
        <f>IF(C506="","",IFERROR(SUMIFS(tbLancamentos[Tempo devido],tbLancamentos[Equipamento],$C506,tbLancamentos[Momento da falha],"&gt;="&amp;$C$7,tbLancamentos[Momento da falha],"&lt;="&amp;$D$7),""))</f>
        <v/>
      </c>
      <c r="G506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6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6" s="127" t="str">
        <f t="shared" si="9"/>
        <v/>
      </c>
    </row>
    <row r="507" spans="2:9" ht="20.100000000000001" customHeight="1" x14ac:dyDescent="0.25">
      <c r="B507" s="94">
        <f>CadEqu!B503</f>
        <v>497</v>
      </c>
      <c r="C507" s="94" t="str">
        <f>IF(CadEqu!F503="","",CadEqu!F503)</f>
        <v/>
      </c>
      <c r="D507" s="97" t="str">
        <f>IF(C507="","",IFERROR(IF(SUMIFS(tbLancamentos[Tempo indisponível],tbLancamentos[Equipamento],$C507,tbLancamentos[Momento da falha],"&gt;="&amp;$C$7,tbLancamentos[Momento da falha],"&lt;="&amp;$D$7)&gt;$E$7,$E$7,SUMIFS(tbLancamentos[Tempo indisponível],tbLancamentos[Equipamento],$C507,tbLancamentos[Momento da falha],"&gt;="&amp;$C$7,tbLancamentos[Momento da falha],"&lt;="&amp;$D$7)),""))</f>
        <v/>
      </c>
      <c r="E507" s="97" t="str">
        <f>IF(C507="","",IFERROR(SUMIFS(tbLancamentos[Meta tempo reparo],tbLancamentos[Equipamento],$C507,tbLancamentos[Momento da falha],"&gt;="&amp;$C$7,tbLancamentos[Momento da falha],"&lt;="&amp;$D$7),""))</f>
        <v/>
      </c>
      <c r="F507" s="97" t="str">
        <f>IF(C507="","",IFERROR(SUMIFS(tbLancamentos[Tempo devido],tbLancamentos[Equipamento],$C507,tbLancamentos[Momento da falha],"&gt;="&amp;$C$7,tbLancamentos[Momento da falha],"&lt;="&amp;$D$7),""))</f>
        <v/>
      </c>
      <c r="G507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7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7" s="127" t="str">
        <f t="shared" si="9"/>
        <v/>
      </c>
    </row>
    <row r="508" spans="2:9" ht="20.100000000000001" customHeight="1" x14ac:dyDescent="0.25">
      <c r="B508" s="94">
        <f>CadEqu!B504</f>
        <v>498</v>
      </c>
      <c r="C508" s="94" t="str">
        <f>IF(CadEqu!F504="","",CadEqu!F504)</f>
        <v/>
      </c>
      <c r="D508" s="97" t="str">
        <f>IF(C508="","",IFERROR(IF(SUMIFS(tbLancamentos[Tempo indisponível],tbLancamentos[Equipamento],$C508,tbLancamentos[Momento da falha],"&gt;="&amp;$C$7,tbLancamentos[Momento da falha],"&lt;="&amp;$D$7)&gt;$E$7,$E$7,SUMIFS(tbLancamentos[Tempo indisponível],tbLancamentos[Equipamento],$C508,tbLancamentos[Momento da falha],"&gt;="&amp;$C$7,tbLancamentos[Momento da falha],"&lt;="&amp;$D$7)),""))</f>
        <v/>
      </c>
      <c r="E508" s="97" t="str">
        <f>IF(C508="","",IFERROR(SUMIFS(tbLancamentos[Meta tempo reparo],tbLancamentos[Equipamento],$C508,tbLancamentos[Momento da falha],"&gt;="&amp;$C$7,tbLancamentos[Momento da falha],"&lt;="&amp;$D$7),""))</f>
        <v/>
      </c>
      <c r="F508" s="97" t="str">
        <f>IF(C508="","",IFERROR(SUMIFS(tbLancamentos[Tempo devido],tbLancamentos[Equipamento],$C508,tbLancamentos[Momento da falha],"&gt;="&amp;$C$7,tbLancamentos[Momento da falha],"&lt;="&amp;$D$7),""))</f>
        <v/>
      </c>
      <c r="G508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8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8" s="127" t="str">
        <f t="shared" si="9"/>
        <v/>
      </c>
    </row>
    <row r="509" spans="2:9" ht="20.100000000000001" customHeight="1" x14ac:dyDescent="0.25">
      <c r="B509" s="94">
        <f>CadEqu!B505</f>
        <v>499</v>
      </c>
      <c r="C509" s="94" t="str">
        <f>IF(CadEqu!F505="","",CadEqu!F505)</f>
        <v/>
      </c>
      <c r="D509" s="97" t="str">
        <f>IF(C509="","",IFERROR(IF(SUMIFS(tbLancamentos[Tempo indisponível],tbLancamentos[Equipamento],$C509,tbLancamentos[Momento da falha],"&gt;="&amp;$C$7,tbLancamentos[Momento da falha],"&lt;="&amp;$D$7)&gt;$E$7,$E$7,SUMIFS(tbLancamentos[Tempo indisponível],tbLancamentos[Equipamento],$C509,tbLancamentos[Momento da falha],"&gt;="&amp;$C$7,tbLancamentos[Momento da falha],"&lt;="&amp;$D$7)),""))</f>
        <v/>
      </c>
      <c r="E509" s="97" t="str">
        <f>IF(C509="","",IFERROR(SUMIFS(tbLancamentos[Meta tempo reparo],tbLancamentos[Equipamento],$C509,tbLancamentos[Momento da falha],"&gt;="&amp;$C$7,tbLancamentos[Momento da falha],"&lt;="&amp;$D$7),""))</f>
        <v/>
      </c>
      <c r="F509" s="97" t="str">
        <f>IF(C509="","",IFERROR(SUMIFS(tbLancamentos[Tempo devido],tbLancamentos[Equipamento],$C509,tbLancamentos[Momento da falha],"&gt;="&amp;$C$7,tbLancamentos[Momento da falha],"&lt;="&amp;$D$7),""))</f>
        <v/>
      </c>
      <c r="G509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09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09" s="127" t="str">
        <f t="shared" si="9"/>
        <v/>
      </c>
    </row>
    <row r="510" spans="2:9" ht="20.100000000000001" customHeight="1" x14ac:dyDescent="0.25">
      <c r="B510" s="94">
        <f>CadEqu!B506</f>
        <v>500</v>
      </c>
      <c r="C510" s="94" t="str">
        <f>IF(CadEqu!F506="","",CadEqu!F506)</f>
        <v/>
      </c>
      <c r="D510" s="97" t="str">
        <f>IF(C510="","",IFERROR(IF(SUMIFS(tbLancamentos[Tempo indisponível],tbLancamentos[Equipamento],$C510,tbLancamentos[Momento da falha],"&gt;="&amp;$C$7,tbLancamentos[Momento da falha],"&lt;="&amp;$D$7)&gt;$E$7,$E$7,SUMIFS(tbLancamentos[Tempo indisponível],tbLancamentos[Equipamento],$C510,tbLancamentos[Momento da falha],"&gt;="&amp;$C$7,tbLancamentos[Momento da falha],"&lt;="&amp;$D$7)),""))</f>
        <v/>
      </c>
      <c r="E510" s="97" t="str">
        <f>IF(C510="","",IFERROR(SUMIFS(tbLancamentos[Meta tempo reparo],tbLancamentos[Equipamento],$C510,tbLancamentos[Momento da falha],"&gt;="&amp;$C$7,tbLancamentos[Momento da falha],"&lt;="&amp;$D$7),""))</f>
        <v/>
      </c>
      <c r="F510" s="97" t="str">
        <f>IF(C510="","",IFERROR(SUMIFS(tbLancamentos[Tempo devido],tbLancamentos[Equipamento],$C510,tbLancamentos[Momento da falha],"&gt;="&amp;$C$7,tbLancamentos[Momento da falha],"&lt;="&amp;$D$7),""))</f>
        <v/>
      </c>
      <c r="G510" s="97" t="str">
        <f>IF(tbDisponibilidade[[#This Row],[Equipamento]]="","",IFERROR(($E$7-tbDisponibilidade[[#This Row],[Tempo total indisponível]])/COUNTIFS(tbLancamentos[Equipamento],tbDisponibilidade[[#This Row],[Equipamento]],tbLancamentos[Momento da falha],"&gt;="&amp;$C$7,tbLancamentos[Momento da falha],"&lt;="&amp;$D$7),0))</f>
        <v/>
      </c>
      <c r="H510" s="97" t="str">
        <f>IF(tbDisponibilidade[[#This Row],[Equipamento]]="","",IFERROR(tbDisponibilidade[[#This Row],[Tempo total indisponível]]/COUNTIFS(tbLancamentos[Equipamento],tbDisponibilidade[[#This Row],[Equipamento]],tbLancamentos[Momento da falha],"&gt;="&amp;$C$7,tbLancamentos[Momento da falha],"&lt;="&amp;$D$7),0))</f>
        <v/>
      </c>
      <c r="I510" s="127" t="str">
        <f t="shared" si="9"/>
        <v/>
      </c>
    </row>
  </sheetData>
  <sheetProtection password="9004" sheet="1" objects="1" scenarios="1"/>
  <dataValidations count="1">
    <dataValidation type="list" allowBlank="1" showInputMessage="1" showErrorMessage="1" sqref="D6">
      <formula1>$AD$6:$AD$17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1000" orientation="portrait" r:id="rId1"/>
  <headerFooter>
    <oddHeader>&amp;CRELATÓRIO DA DISPINIBILIDADE DOS EQUIPAMENTOS</oddHeader>
    <oddFooter>&amp;LImpresso em &amp;D as &amp;T&amp;RPágina &amp;P de &amp;N páginas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8E821F74-10E7-4FB8-88F4-145FB14CD0AF}">
            <xm:f>AND($C11&lt;&gt;"",$I11&gt;=VLOOKUP($C11,CadEqu!$F$7:$G$506,2,0))</xm:f>
            <x14:dxf>
              <font>
                <b/>
                <i val="0"/>
                <color theme="9" tint="-0.499984740745262"/>
              </font>
              <fill>
                <patternFill>
                  <bgColor theme="9" tint="0.59996337778862885"/>
                </patternFill>
              </fill>
            </x14:dxf>
          </x14:cfRule>
          <x14:cfRule type="expression" priority="9" id="{C4299E82-CAB1-4BFB-82C7-E9401409599B}">
            <xm:f>AND($C11&lt;&gt;"",$I11&lt;VLOOKUP($C11,CadEqu!$F$7:$G$506,2,0))</xm:f>
            <x14:dxf>
              <font>
                <b/>
                <i val="0"/>
                <color rgb="FFC00000"/>
              </font>
              <fill>
                <patternFill>
                  <bgColor rgb="FFFFBDBD"/>
                </patternFill>
              </fill>
            </x14:dxf>
          </x14:cfRule>
          <xm:sqref>I11:I510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0"/>
  <sheetViews>
    <sheetView showGridLines="0" zoomScaleNormal="100" zoomScaleSheetLayoutView="80" workbookViewId="0"/>
  </sheetViews>
  <sheetFormatPr defaultRowHeight="15" x14ac:dyDescent="0.25"/>
  <cols>
    <col min="1" max="1" width="2.7109375" style="7" customWidth="1"/>
    <col min="2" max="2" width="23.28515625" style="7" customWidth="1"/>
    <col min="3" max="15" width="10.7109375" style="7" customWidth="1"/>
    <col min="16" max="16" width="1.7109375" style="7" customWidth="1"/>
    <col min="17" max="16384" width="9.140625" style="7"/>
  </cols>
  <sheetData>
    <row r="1" spans="2:15" s="3" customFormat="1" ht="30" customHeight="1" x14ac:dyDescent="0.25"/>
    <row r="2" spans="2:15" s="4" customFormat="1" ht="24.95" customHeight="1" x14ac:dyDescent="0.25"/>
    <row r="3" spans="2:15" s="5" customFormat="1" ht="20.100000000000001" customHeight="1" x14ac:dyDescent="0.25"/>
    <row r="4" spans="2:15" ht="21" x14ac:dyDescent="0.35">
      <c r="B4" s="68" t="s">
        <v>74</v>
      </c>
    </row>
    <row r="6" spans="2:15" ht="20.100000000000001" customHeight="1" x14ac:dyDescent="0.25">
      <c r="B6" s="129" t="s">
        <v>16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15" ht="20.100000000000001" customHeight="1" x14ac:dyDescent="0.25"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</row>
    <row r="8" spans="2:15" ht="20.100000000000001" customHeight="1" x14ac:dyDescent="0.25"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</row>
    <row r="9" spans="2:15" ht="20.100000000000001" customHeight="1" x14ac:dyDescent="0.25"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2:15" ht="20.100000000000001" customHeight="1" x14ac:dyDescent="0.25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</row>
    <row r="11" spans="2:15" ht="20.100000000000001" customHeight="1" x14ac:dyDescent="0.2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2:15" ht="20.100000000000001" customHeight="1" x14ac:dyDescent="0.2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</row>
    <row r="13" spans="2:15" ht="20.100000000000001" customHeight="1" x14ac:dyDescent="0.25"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spans="2:15" ht="20.100000000000001" customHeight="1" x14ac:dyDescent="0.25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spans="2:15" ht="31.5" customHeight="1" x14ac:dyDescent="0.25">
      <c r="B15" s="130" t="s">
        <v>55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spans="2:15" ht="31.5" customHeight="1" x14ac:dyDescent="0.25">
      <c r="B16" s="130" t="s">
        <v>57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2:15" ht="31.5" x14ac:dyDescent="0.5">
      <c r="B17" s="131" t="s">
        <v>59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spans="2:15" ht="31.5" x14ac:dyDescent="0.5">
      <c r="B18" s="131" t="s">
        <v>58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spans="2:15" ht="31.5" x14ac:dyDescent="0.5">
      <c r="B19" s="131" t="s">
        <v>110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spans="2:15" ht="31.5" x14ac:dyDescent="0.5">
      <c r="B20" s="131" t="s">
        <v>111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</row>
    <row r="21" spans="2:15" ht="21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132" t="str">
        <f>"Ano da análise: "&amp;Res!$C$6</f>
        <v>Ano da análise: 2022</v>
      </c>
    </row>
    <row r="22" spans="2:15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2:15" ht="18.75" x14ac:dyDescent="0.3">
      <c r="B23" s="133" t="s">
        <v>55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2:15" ht="15" customHeight="1" x14ac:dyDescent="0.25">
      <c r="B24" s="69" t="str">
        <f>Res!B10</f>
        <v>Categoria</v>
      </c>
      <c r="C24" s="106" t="str">
        <f>Res!C10</f>
        <v>Janeiro</v>
      </c>
      <c r="D24" s="106" t="str">
        <f>Res!D10</f>
        <v>Fevereiro</v>
      </c>
      <c r="E24" s="106" t="str">
        <f>Res!E10</f>
        <v>Março</v>
      </c>
      <c r="F24" s="106" t="str">
        <f>Res!F10</f>
        <v>Abril</v>
      </c>
      <c r="G24" s="106" t="str">
        <f>Res!G10</f>
        <v>Maio</v>
      </c>
      <c r="H24" s="106" t="str">
        <f>Res!H10</f>
        <v>Junho</v>
      </c>
      <c r="I24" s="106" t="str">
        <f>Res!I10</f>
        <v>Julho</v>
      </c>
      <c r="J24" s="106" t="str">
        <f>Res!J10</f>
        <v>Agosto</v>
      </c>
      <c r="K24" s="106" t="str">
        <f>Res!K10</f>
        <v>Setembro</v>
      </c>
      <c r="L24" s="106" t="str">
        <f>Res!L10</f>
        <v>Outubro</v>
      </c>
      <c r="M24" s="106" t="str">
        <f>Res!M10</f>
        <v>Novembro</v>
      </c>
      <c r="N24" s="106" t="str">
        <f>Res!N10</f>
        <v>Dezembro</v>
      </c>
      <c r="O24" s="106" t="str">
        <f>Res!O10</f>
        <v>Total</v>
      </c>
    </row>
    <row r="25" spans="2:15" ht="15" customHeight="1" x14ac:dyDescent="0.25">
      <c r="B25" s="134" t="str">
        <f ca="1">Res!B11</f>
        <v>Câmera</v>
      </c>
      <c r="C25" s="135">
        <f ca="1">Res!C11</f>
        <v>0.26380345476354705</v>
      </c>
      <c r="D25" s="135">
        <f ca="1">Res!D11</f>
        <v>0</v>
      </c>
      <c r="E25" s="135">
        <f ca="1">Res!E11</f>
        <v>0</v>
      </c>
      <c r="F25" s="135">
        <f ca="1">Res!F11</f>
        <v>0</v>
      </c>
      <c r="G25" s="135">
        <f ca="1">Res!G11</f>
        <v>0</v>
      </c>
      <c r="H25" s="135">
        <f ca="1">Res!H11</f>
        <v>0</v>
      </c>
      <c r="I25" s="135">
        <f ca="1">Res!I11</f>
        <v>0</v>
      </c>
      <c r="J25" s="135">
        <f ca="1">Res!J11</f>
        <v>0</v>
      </c>
      <c r="K25" s="135">
        <f ca="1">Res!K11</f>
        <v>0</v>
      </c>
      <c r="L25" s="135">
        <f ca="1">Res!L11</f>
        <v>0</v>
      </c>
      <c r="M25" s="135">
        <f ca="1">Res!M11</f>
        <v>0</v>
      </c>
      <c r="N25" s="135">
        <f ca="1">Res!N11</f>
        <v>0</v>
      </c>
      <c r="O25" s="136">
        <f ca="1">Res!O11</f>
        <v>0.26380345476354705</v>
      </c>
    </row>
    <row r="26" spans="2:15" ht="15" customHeight="1" x14ac:dyDescent="0.25">
      <c r="B26" s="134" t="str">
        <f ca="1">Res!B12</f>
        <v>Sensor</v>
      </c>
      <c r="C26" s="135">
        <f ca="1">Res!C12</f>
        <v>0</v>
      </c>
      <c r="D26" s="135">
        <f ca="1">Res!D12</f>
        <v>0</v>
      </c>
      <c r="E26" s="135">
        <f ca="1">Res!E12</f>
        <v>0</v>
      </c>
      <c r="F26" s="135">
        <f ca="1">Res!F12</f>
        <v>0</v>
      </c>
      <c r="G26" s="135">
        <f ca="1">Res!G12</f>
        <v>0</v>
      </c>
      <c r="H26" s="135">
        <f ca="1">Res!H12</f>
        <v>0</v>
      </c>
      <c r="I26" s="135">
        <f ca="1">Res!I12</f>
        <v>0</v>
      </c>
      <c r="J26" s="135">
        <f ca="1">Res!J12</f>
        <v>0</v>
      </c>
      <c r="K26" s="135">
        <f ca="1">Res!K12</f>
        <v>0</v>
      </c>
      <c r="L26" s="135">
        <f ca="1">Res!L12</f>
        <v>0</v>
      </c>
      <c r="M26" s="135">
        <f ca="1">Res!M12</f>
        <v>0</v>
      </c>
      <c r="N26" s="135">
        <f ca="1">Res!N12</f>
        <v>0</v>
      </c>
      <c r="O26" s="136">
        <f ca="1">Res!O12</f>
        <v>0</v>
      </c>
    </row>
    <row r="27" spans="2:15" ht="15" customHeight="1" x14ac:dyDescent="0.25">
      <c r="B27" s="134" t="str">
        <f ca="1">Res!B13</f>
        <v>Central de alarme</v>
      </c>
      <c r="C27" s="135">
        <f ca="1">Res!C13</f>
        <v>0</v>
      </c>
      <c r="D27" s="135">
        <f ca="1">Res!D13</f>
        <v>0</v>
      </c>
      <c r="E27" s="135">
        <f ca="1">Res!E13</f>
        <v>0</v>
      </c>
      <c r="F27" s="135">
        <f ca="1">Res!F13</f>
        <v>0</v>
      </c>
      <c r="G27" s="135">
        <f ca="1">Res!G13</f>
        <v>0</v>
      </c>
      <c r="H27" s="135">
        <f ca="1">Res!H13</f>
        <v>0</v>
      </c>
      <c r="I27" s="135">
        <f ca="1">Res!I13</f>
        <v>0</v>
      </c>
      <c r="J27" s="135">
        <f ca="1">Res!J13</f>
        <v>0</v>
      </c>
      <c r="K27" s="135">
        <f ca="1">Res!K13</f>
        <v>0</v>
      </c>
      <c r="L27" s="135">
        <f ca="1">Res!L13</f>
        <v>0</v>
      </c>
      <c r="M27" s="135">
        <f ca="1">Res!M13</f>
        <v>0</v>
      </c>
      <c r="N27" s="135">
        <f ca="1">Res!N13</f>
        <v>0</v>
      </c>
      <c r="O27" s="136">
        <f ca="1">Res!O13</f>
        <v>0</v>
      </c>
    </row>
    <row r="28" spans="2:15" ht="15" customHeight="1" x14ac:dyDescent="0.25">
      <c r="B28" s="134" t="str">
        <f ca="1">Res!B14</f>
        <v>Servidor</v>
      </c>
      <c r="C28" s="135">
        <f ca="1">Res!C14</f>
        <v>0</v>
      </c>
      <c r="D28" s="135">
        <f ca="1">Res!D14</f>
        <v>0</v>
      </c>
      <c r="E28" s="135">
        <f ca="1">Res!E14</f>
        <v>0</v>
      </c>
      <c r="F28" s="135">
        <f ca="1">Res!F14</f>
        <v>0</v>
      </c>
      <c r="G28" s="135">
        <f ca="1">Res!G14</f>
        <v>0</v>
      </c>
      <c r="H28" s="135">
        <f ca="1">Res!H14</f>
        <v>0</v>
      </c>
      <c r="I28" s="135">
        <f ca="1">Res!I14</f>
        <v>0</v>
      </c>
      <c r="J28" s="135">
        <f ca="1">Res!J14</f>
        <v>0</v>
      </c>
      <c r="K28" s="135">
        <f ca="1">Res!K14</f>
        <v>0</v>
      </c>
      <c r="L28" s="135">
        <f ca="1">Res!L14</f>
        <v>0</v>
      </c>
      <c r="M28" s="135">
        <f ca="1">Res!M14</f>
        <v>0</v>
      </c>
      <c r="N28" s="135">
        <f ca="1">Res!N14</f>
        <v>0</v>
      </c>
      <c r="O28" s="136">
        <f ca="1">Res!O14</f>
        <v>0</v>
      </c>
    </row>
    <row r="29" spans="2:15" ht="15" customHeight="1" x14ac:dyDescent="0.25">
      <c r="B29" s="134" t="str">
        <f ca="1">Res!B15</f>
        <v>DVR</v>
      </c>
      <c r="C29" s="135">
        <f ca="1">Res!C15</f>
        <v>0</v>
      </c>
      <c r="D29" s="135">
        <f ca="1">Res!D15</f>
        <v>0</v>
      </c>
      <c r="E29" s="135">
        <f ca="1">Res!E15</f>
        <v>0</v>
      </c>
      <c r="F29" s="135">
        <f ca="1">Res!F15</f>
        <v>0</v>
      </c>
      <c r="G29" s="135">
        <f ca="1">Res!G15</f>
        <v>0</v>
      </c>
      <c r="H29" s="135">
        <f ca="1">Res!H15</f>
        <v>0</v>
      </c>
      <c r="I29" s="135">
        <f ca="1">Res!I15</f>
        <v>0</v>
      </c>
      <c r="J29" s="135">
        <f ca="1">Res!J15</f>
        <v>0</v>
      </c>
      <c r="K29" s="135">
        <f ca="1">Res!K15</f>
        <v>0</v>
      </c>
      <c r="L29" s="135">
        <f ca="1">Res!L15</f>
        <v>0</v>
      </c>
      <c r="M29" s="135">
        <f ca="1">Res!M15</f>
        <v>0</v>
      </c>
      <c r="N29" s="135">
        <f ca="1">Res!N15</f>
        <v>0</v>
      </c>
      <c r="O29" s="136">
        <f ca="1">Res!O15</f>
        <v>0</v>
      </c>
    </row>
    <row r="30" spans="2:15" ht="15" customHeight="1" x14ac:dyDescent="0.25">
      <c r="B30" s="134" t="str">
        <f ca="1">Res!B16</f>
        <v/>
      </c>
      <c r="C30" s="135" t="str">
        <f ca="1">Res!C16</f>
        <v/>
      </c>
      <c r="D30" s="135" t="str">
        <f ca="1">Res!D16</f>
        <v/>
      </c>
      <c r="E30" s="135" t="str">
        <f ca="1">Res!E16</f>
        <v/>
      </c>
      <c r="F30" s="135" t="str">
        <f ca="1">Res!F16</f>
        <v/>
      </c>
      <c r="G30" s="135" t="str">
        <f ca="1">Res!G16</f>
        <v/>
      </c>
      <c r="H30" s="135" t="str">
        <f ca="1">Res!H16</f>
        <v/>
      </c>
      <c r="I30" s="135" t="str">
        <f ca="1">Res!I16</f>
        <v/>
      </c>
      <c r="J30" s="135" t="str">
        <f ca="1">Res!J16</f>
        <v/>
      </c>
      <c r="K30" s="135" t="str">
        <f ca="1">Res!K16</f>
        <v/>
      </c>
      <c r="L30" s="135" t="str">
        <f ca="1">Res!L16</f>
        <v/>
      </c>
      <c r="M30" s="135" t="str">
        <f ca="1">Res!M16</f>
        <v/>
      </c>
      <c r="N30" s="135" t="str">
        <f ca="1">Res!N16</f>
        <v/>
      </c>
      <c r="O30" s="136" t="str">
        <f ca="1">Res!O16</f>
        <v/>
      </c>
    </row>
    <row r="31" spans="2:15" ht="15" customHeight="1" x14ac:dyDescent="0.25">
      <c r="B31" s="134" t="str">
        <f ca="1">Res!B17</f>
        <v/>
      </c>
      <c r="C31" s="135" t="str">
        <f ca="1">Res!C17</f>
        <v/>
      </c>
      <c r="D31" s="135" t="str">
        <f ca="1">Res!D17</f>
        <v/>
      </c>
      <c r="E31" s="135" t="str">
        <f ca="1">Res!E17</f>
        <v/>
      </c>
      <c r="F31" s="135" t="str">
        <f ca="1">Res!F17</f>
        <v/>
      </c>
      <c r="G31" s="135" t="str">
        <f ca="1">Res!G17</f>
        <v/>
      </c>
      <c r="H31" s="135" t="str">
        <f ca="1">Res!H17</f>
        <v/>
      </c>
      <c r="I31" s="135" t="str">
        <f ca="1">Res!I17</f>
        <v/>
      </c>
      <c r="J31" s="135" t="str">
        <f ca="1">Res!J17</f>
        <v/>
      </c>
      <c r="K31" s="135" t="str">
        <f ca="1">Res!K17</f>
        <v/>
      </c>
      <c r="L31" s="135" t="str">
        <f ca="1">Res!L17</f>
        <v/>
      </c>
      <c r="M31" s="135" t="str">
        <f ca="1">Res!M17</f>
        <v/>
      </c>
      <c r="N31" s="135" t="str">
        <f ca="1">Res!N17</f>
        <v/>
      </c>
      <c r="O31" s="136" t="str">
        <f ca="1">Res!O17</f>
        <v/>
      </c>
    </row>
    <row r="32" spans="2:15" ht="15" customHeight="1" x14ac:dyDescent="0.25">
      <c r="B32" s="134" t="str">
        <f ca="1">Res!B18</f>
        <v/>
      </c>
      <c r="C32" s="135" t="str">
        <f ca="1">Res!C18</f>
        <v/>
      </c>
      <c r="D32" s="135" t="str">
        <f ca="1">Res!D18</f>
        <v/>
      </c>
      <c r="E32" s="135" t="str">
        <f ca="1">Res!E18</f>
        <v/>
      </c>
      <c r="F32" s="135" t="str">
        <f ca="1">Res!F18</f>
        <v/>
      </c>
      <c r="G32" s="135" t="str">
        <f ca="1">Res!G18</f>
        <v/>
      </c>
      <c r="H32" s="135" t="str">
        <f ca="1">Res!H18</f>
        <v/>
      </c>
      <c r="I32" s="135" t="str">
        <f ca="1">Res!I18</f>
        <v/>
      </c>
      <c r="J32" s="135" t="str">
        <f ca="1">Res!J18</f>
        <v/>
      </c>
      <c r="K32" s="135" t="str">
        <f ca="1">Res!K18</f>
        <v/>
      </c>
      <c r="L32" s="135" t="str">
        <f ca="1">Res!L18</f>
        <v/>
      </c>
      <c r="M32" s="135" t="str">
        <f ca="1">Res!M18</f>
        <v/>
      </c>
      <c r="N32" s="135" t="str">
        <f ca="1">Res!N18</f>
        <v/>
      </c>
      <c r="O32" s="136" t="str">
        <f ca="1">Res!O18</f>
        <v/>
      </c>
    </row>
    <row r="33" spans="2:15" ht="15" customHeight="1" x14ac:dyDescent="0.25">
      <c r="B33" s="134" t="str">
        <f ca="1">Res!B19</f>
        <v/>
      </c>
      <c r="C33" s="135" t="str">
        <f ca="1">Res!C19</f>
        <v/>
      </c>
      <c r="D33" s="135" t="str">
        <f ca="1">Res!D19</f>
        <v/>
      </c>
      <c r="E33" s="135" t="str">
        <f ca="1">Res!E19</f>
        <v/>
      </c>
      <c r="F33" s="135" t="str">
        <f ca="1">Res!F19</f>
        <v/>
      </c>
      <c r="G33" s="135" t="str">
        <f ca="1">Res!G19</f>
        <v/>
      </c>
      <c r="H33" s="135" t="str">
        <f ca="1">Res!H19</f>
        <v/>
      </c>
      <c r="I33" s="135" t="str">
        <f ca="1">Res!I19</f>
        <v/>
      </c>
      <c r="J33" s="135" t="str">
        <f ca="1">Res!J19</f>
        <v/>
      </c>
      <c r="K33" s="135" t="str">
        <f ca="1">Res!K19</f>
        <v/>
      </c>
      <c r="L33" s="135" t="str">
        <f ca="1">Res!L19</f>
        <v/>
      </c>
      <c r="M33" s="135" t="str">
        <f ca="1">Res!M19</f>
        <v/>
      </c>
      <c r="N33" s="135" t="str">
        <f ca="1">Res!N19</f>
        <v/>
      </c>
      <c r="O33" s="136" t="str">
        <f ca="1">Res!O19</f>
        <v/>
      </c>
    </row>
    <row r="34" spans="2:15" ht="15" customHeight="1" x14ac:dyDescent="0.25">
      <c r="B34" s="134" t="str">
        <f ca="1">Res!B20</f>
        <v/>
      </c>
      <c r="C34" s="135" t="str">
        <f ca="1">Res!C20</f>
        <v/>
      </c>
      <c r="D34" s="135" t="str">
        <f ca="1">Res!D20</f>
        <v/>
      </c>
      <c r="E34" s="135" t="str">
        <f ca="1">Res!E20</f>
        <v/>
      </c>
      <c r="F34" s="135" t="str">
        <f ca="1">Res!F20</f>
        <v/>
      </c>
      <c r="G34" s="135" t="str">
        <f ca="1">Res!G20</f>
        <v/>
      </c>
      <c r="H34" s="135" t="str">
        <f ca="1">Res!H20</f>
        <v/>
      </c>
      <c r="I34" s="135" t="str">
        <f ca="1">Res!I20</f>
        <v/>
      </c>
      <c r="J34" s="135" t="str">
        <f ca="1">Res!J20</f>
        <v/>
      </c>
      <c r="K34" s="135" t="str">
        <f ca="1">Res!K20</f>
        <v/>
      </c>
      <c r="L34" s="135" t="str">
        <f ca="1">Res!L20</f>
        <v/>
      </c>
      <c r="M34" s="135" t="str">
        <f ca="1">Res!M20</f>
        <v/>
      </c>
      <c r="N34" s="135" t="str">
        <f ca="1">Res!N20</f>
        <v/>
      </c>
      <c r="O34" s="136" t="str">
        <f ca="1">Res!O20</f>
        <v/>
      </c>
    </row>
    <row r="35" spans="2:15" ht="15" customHeight="1" x14ac:dyDescent="0.25">
      <c r="B35" s="110" t="str">
        <f>Res!B21</f>
        <v>Total</v>
      </c>
      <c r="C35" s="136">
        <f ca="1">Res!C21</f>
        <v>0.26380345476354705</v>
      </c>
      <c r="D35" s="136">
        <f ca="1">Res!D21</f>
        <v>0</v>
      </c>
      <c r="E35" s="136">
        <f ca="1">Res!E21</f>
        <v>0</v>
      </c>
      <c r="F35" s="136">
        <f ca="1">Res!F21</f>
        <v>0</v>
      </c>
      <c r="G35" s="136">
        <f ca="1">Res!G21</f>
        <v>0</v>
      </c>
      <c r="H35" s="136">
        <f ca="1">Res!H21</f>
        <v>0</v>
      </c>
      <c r="I35" s="136">
        <f ca="1">Res!I21</f>
        <v>0</v>
      </c>
      <c r="J35" s="136">
        <f ca="1">Res!J21</f>
        <v>0</v>
      </c>
      <c r="K35" s="136">
        <f ca="1">Res!K21</f>
        <v>0</v>
      </c>
      <c r="L35" s="136">
        <f ca="1">Res!L21</f>
        <v>0</v>
      </c>
      <c r="M35" s="136">
        <f ca="1">Res!M21</f>
        <v>0</v>
      </c>
      <c r="N35" s="136">
        <f ca="1">Res!N21</f>
        <v>0</v>
      </c>
      <c r="O35" s="137"/>
    </row>
    <row r="66" spans="2:15" ht="18.75" x14ac:dyDescent="0.3">
      <c r="B66" s="133" t="s">
        <v>57</v>
      </c>
    </row>
    <row r="67" spans="2:15" ht="15" customHeight="1" x14ac:dyDescent="0.25">
      <c r="B67" s="69" t="str">
        <f>Res!B24</f>
        <v>Falhas</v>
      </c>
      <c r="C67" s="106" t="str">
        <f>Res!C24</f>
        <v>Janeiro</v>
      </c>
      <c r="D67" s="106" t="str">
        <f>Res!D24</f>
        <v>Fevereiro</v>
      </c>
      <c r="E67" s="106" t="str">
        <f>Res!E24</f>
        <v>Março</v>
      </c>
      <c r="F67" s="106" t="str">
        <f>Res!F24</f>
        <v>Abril</v>
      </c>
      <c r="G67" s="106" t="str">
        <f>Res!G24</f>
        <v>Maio</v>
      </c>
      <c r="H67" s="106" t="str">
        <f>Res!H24</f>
        <v>Junho</v>
      </c>
      <c r="I67" s="106" t="str">
        <f>Res!I24</f>
        <v>Julho</v>
      </c>
      <c r="J67" s="106" t="str">
        <f>Res!J24</f>
        <v>Agosto</v>
      </c>
      <c r="K67" s="106" t="str">
        <f>Res!K24</f>
        <v>Setembro</v>
      </c>
      <c r="L67" s="106" t="str">
        <f>Res!L24</f>
        <v>Outubro</v>
      </c>
      <c r="M67" s="106" t="str">
        <f>Res!M24</f>
        <v>Novembro</v>
      </c>
      <c r="N67" s="106" t="str">
        <f>Res!N24</f>
        <v>Dezembro</v>
      </c>
      <c r="O67" s="106" t="str">
        <f>Res!O24</f>
        <v>Total</v>
      </c>
    </row>
    <row r="68" spans="2:15" ht="15" customHeight="1" x14ac:dyDescent="0.25">
      <c r="B68" s="134" t="str">
        <f ca="1">Res!B25</f>
        <v>Câmera offline</v>
      </c>
      <c r="C68" s="138">
        <f ca="1">Res!C25</f>
        <v>1</v>
      </c>
      <c r="D68" s="138">
        <f ca="1">Res!D25</f>
        <v>0</v>
      </c>
      <c r="E68" s="138">
        <f ca="1">Res!E25</f>
        <v>0</v>
      </c>
      <c r="F68" s="138">
        <f ca="1">Res!F25</f>
        <v>0</v>
      </c>
      <c r="G68" s="138">
        <f ca="1">Res!G25</f>
        <v>0</v>
      </c>
      <c r="H68" s="138">
        <f ca="1">Res!H25</f>
        <v>0</v>
      </c>
      <c r="I68" s="138">
        <f ca="1">Res!I25</f>
        <v>0</v>
      </c>
      <c r="J68" s="138">
        <f ca="1">Res!J25</f>
        <v>0</v>
      </c>
      <c r="K68" s="138">
        <f ca="1">Res!K25</f>
        <v>0</v>
      </c>
      <c r="L68" s="138">
        <f ca="1">Res!L25</f>
        <v>0</v>
      </c>
      <c r="M68" s="138">
        <f ca="1">Res!M25</f>
        <v>0</v>
      </c>
      <c r="N68" s="138">
        <f ca="1">Res!N25</f>
        <v>0</v>
      </c>
      <c r="O68" s="139">
        <f ca="1">Res!O25</f>
        <v>1</v>
      </c>
    </row>
    <row r="69" spans="2:15" ht="15" customHeight="1" x14ac:dyDescent="0.25">
      <c r="B69" s="134" t="str">
        <f ca="1">Res!B26</f>
        <v>Alarme offline</v>
      </c>
      <c r="C69" s="138">
        <f ca="1">Res!C26</f>
        <v>0</v>
      </c>
      <c r="D69" s="138">
        <f ca="1">Res!D26</f>
        <v>0</v>
      </c>
      <c r="E69" s="138">
        <f ca="1">Res!E26</f>
        <v>0</v>
      </c>
      <c r="F69" s="138">
        <f ca="1">Res!F26</f>
        <v>0</v>
      </c>
      <c r="G69" s="138">
        <f ca="1">Res!G26</f>
        <v>0</v>
      </c>
      <c r="H69" s="138">
        <f ca="1">Res!H26</f>
        <v>0</v>
      </c>
      <c r="I69" s="138">
        <f ca="1">Res!I26</f>
        <v>0</v>
      </c>
      <c r="J69" s="138">
        <f ca="1">Res!J26</f>
        <v>0</v>
      </c>
      <c r="K69" s="138">
        <f ca="1">Res!K26</f>
        <v>0</v>
      </c>
      <c r="L69" s="138">
        <f ca="1">Res!L26</f>
        <v>0</v>
      </c>
      <c r="M69" s="138">
        <f ca="1">Res!M26</f>
        <v>0</v>
      </c>
      <c r="N69" s="138">
        <f ca="1">Res!N26</f>
        <v>0</v>
      </c>
      <c r="O69" s="139">
        <f ca="1">Res!O26</f>
        <v>0</v>
      </c>
    </row>
    <row r="70" spans="2:15" ht="15" customHeight="1" x14ac:dyDescent="0.25">
      <c r="B70" s="134" t="str">
        <f ca="1">Res!B27</f>
        <v>Central de alarme inoperante</v>
      </c>
      <c r="C70" s="138">
        <f ca="1">Res!C27</f>
        <v>0</v>
      </c>
      <c r="D70" s="138">
        <f ca="1">Res!D27</f>
        <v>0</v>
      </c>
      <c r="E70" s="138">
        <f ca="1">Res!E27</f>
        <v>0</v>
      </c>
      <c r="F70" s="138">
        <f ca="1">Res!F27</f>
        <v>0</v>
      </c>
      <c r="G70" s="138">
        <f ca="1">Res!G27</f>
        <v>0</v>
      </c>
      <c r="H70" s="138">
        <f ca="1">Res!H27</f>
        <v>0</v>
      </c>
      <c r="I70" s="138">
        <f ca="1">Res!I27</f>
        <v>0</v>
      </c>
      <c r="J70" s="138">
        <f ca="1">Res!J27</f>
        <v>0</v>
      </c>
      <c r="K70" s="138">
        <f ca="1">Res!K27</f>
        <v>0</v>
      </c>
      <c r="L70" s="138">
        <f ca="1">Res!L27</f>
        <v>0</v>
      </c>
      <c r="M70" s="138">
        <f ca="1">Res!M27</f>
        <v>0</v>
      </c>
      <c r="N70" s="138">
        <f ca="1">Res!N27</f>
        <v>0</v>
      </c>
      <c r="O70" s="139">
        <f ca="1">Res!O27</f>
        <v>0</v>
      </c>
    </row>
    <row r="71" spans="2:15" ht="15" customHeight="1" x14ac:dyDescent="0.25">
      <c r="B71" s="134" t="str">
        <f ca="1">Res!B28</f>
        <v>DVR offline</v>
      </c>
      <c r="C71" s="138">
        <f ca="1">Res!C28</f>
        <v>0</v>
      </c>
      <c r="D71" s="138">
        <f ca="1">Res!D28</f>
        <v>0</v>
      </c>
      <c r="E71" s="138">
        <f ca="1">Res!E28</f>
        <v>0</v>
      </c>
      <c r="F71" s="138">
        <f ca="1">Res!F28</f>
        <v>0</v>
      </c>
      <c r="G71" s="138">
        <f ca="1">Res!G28</f>
        <v>0</v>
      </c>
      <c r="H71" s="138">
        <f ca="1">Res!H28</f>
        <v>0</v>
      </c>
      <c r="I71" s="138">
        <f ca="1">Res!I28</f>
        <v>0</v>
      </c>
      <c r="J71" s="138">
        <f ca="1">Res!J28</f>
        <v>0</v>
      </c>
      <c r="K71" s="138">
        <f ca="1">Res!K28</f>
        <v>0</v>
      </c>
      <c r="L71" s="138">
        <f ca="1">Res!L28</f>
        <v>0</v>
      </c>
      <c r="M71" s="138">
        <f ca="1">Res!M28</f>
        <v>0</v>
      </c>
      <c r="N71" s="138">
        <f ca="1">Res!N28</f>
        <v>0</v>
      </c>
      <c r="O71" s="139">
        <f ca="1">Res!O28</f>
        <v>0</v>
      </c>
    </row>
    <row r="72" spans="2:15" ht="15" customHeight="1" x14ac:dyDescent="0.25">
      <c r="B72" s="134" t="str">
        <f ca="1">Res!B29</f>
        <v>Sensores Inoperantes</v>
      </c>
      <c r="C72" s="138">
        <f ca="1">Res!C29</f>
        <v>0</v>
      </c>
      <c r="D72" s="138">
        <f ca="1">Res!D29</f>
        <v>0</v>
      </c>
      <c r="E72" s="138">
        <f ca="1">Res!E29</f>
        <v>0</v>
      </c>
      <c r="F72" s="138">
        <f ca="1">Res!F29</f>
        <v>0</v>
      </c>
      <c r="G72" s="138">
        <f ca="1">Res!G29</f>
        <v>0</v>
      </c>
      <c r="H72" s="138">
        <f ca="1">Res!H29</f>
        <v>0</v>
      </c>
      <c r="I72" s="138">
        <f ca="1">Res!I29</f>
        <v>0</v>
      </c>
      <c r="J72" s="138">
        <f ca="1">Res!J29</f>
        <v>0</v>
      </c>
      <c r="K72" s="138">
        <f ca="1">Res!K29</f>
        <v>0</v>
      </c>
      <c r="L72" s="138">
        <f ca="1">Res!L29</f>
        <v>0</v>
      </c>
      <c r="M72" s="138">
        <f ca="1">Res!M29</f>
        <v>0</v>
      </c>
      <c r="N72" s="138">
        <f ca="1">Res!N29</f>
        <v>0</v>
      </c>
      <c r="O72" s="139">
        <f ca="1">Res!O29</f>
        <v>0</v>
      </c>
    </row>
    <row r="73" spans="2:15" ht="15" customHeight="1" x14ac:dyDescent="0.25">
      <c r="B73" s="134" t="str">
        <f ca="1">Res!B30</f>
        <v>Servidor offline</v>
      </c>
      <c r="C73" s="138">
        <f ca="1">Res!C30</f>
        <v>0</v>
      </c>
      <c r="D73" s="138">
        <f ca="1">Res!D30</f>
        <v>0</v>
      </c>
      <c r="E73" s="138">
        <f ca="1">Res!E30</f>
        <v>0</v>
      </c>
      <c r="F73" s="138">
        <f ca="1">Res!F30</f>
        <v>0</v>
      </c>
      <c r="G73" s="138">
        <f ca="1">Res!G30</f>
        <v>0</v>
      </c>
      <c r="H73" s="138">
        <f ca="1">Res!H30</f>
        <v>0</v>
      </c>
      <c r="I73" s="138">
        <f ca="1">Res!I30</f>
        <v>0</v>
      </c>
      <c r="J73" s="138">
        <f ca="1">Res!J30</f>
        <v>0</v>
      </c>
      <c r="K73" s="138">
        <f ca="1">Res!K30</f>
        <v>0</v>
      </c>
      <c r="L73" s="138">
        <f ca="1">Res!L30</f>
        <v>0</v>
      </c>
      <c r="M73" s="138">
        <f ca="1">Res!M30</f>
        <v>0</v>
      </c>
      <c r="N73" s="138">
        <f ca="1">Res!N30</f>
        <v>0</v>
      </c>
      <c r="O73" s="139">
        <f ca="1">Res!O30</f>
        <v>0</v>
      </c>
    </row>
    <row r="74" spans="2:15" ht="15" customHeight="1" x14ac:dyDescent="0.25">
      <c r="B74" s="134" t="str">
        <f ca="1">Res!B31</f>
        <v/>
      </c>
      <c r="C74" s="138" t="str">
        <f ca="1">Res!C31</f>
        <v/>
      </c>
      <c r="D74" s="138" t="str">
        <f ca="1">Res!D31</f>
        <v/>
      </c>
      <c r="E74" s="138" t="str">
        <f ca="1">Res!E31</f>
        <v/>
      </c>
      <c r="F74" s="138" t="str">
        <f ca="1">Res!F31</f>
        <v/>
      </c>
      <c r="G74" s="138" t="str">
        <f ca="1">Res!G31</f>
        <v/>
      </c>
      <c r="H74" s="138" t="str">
        <f ca="1">Res!H31</f>
        <v/>
      </c>
      <c r="I74" s="138" t="str">
        <f ca="1">Res!I31</f>
        <v/>
      </c>
      <c r="J74" s="138" t="str">
        <f ca="1">Res!J31</f>
        <v/>
      </c>
      <c r="K74" s="138" t="str">
        <f ca="1">Res!K31</f>
        <v/>
      </c>
      <c r="L74" s="138" t="str">
        <f ca="1">Res!L31</f>
        <v/>
      </c>
      <c r="M74" s="138" t="str">
        <f ca="1">Res!M31</f>
        <v/>
      </c>
      <c r="N74" s="138" t="str">
        <f ca="1">Res!N31</f>
        <v/>
      </c>
      <c r="O74" s="139" t="str">
        <f ca="1">Res!O31</f>
        <v/>
      </c>
    </row>
    <row r="75" spans="2:15" ht="15" customHeight="1" x14ac:dyDescent="0.25">
      <c r="B75" s="134" t="str">
        <f ca="1">Res!B32</f>
        <v/>
      </c>
      <c r="C75" s="138" t="str">
        <f ca="1">Res!C32</f>
        <v/>
      </c>
      <c r="D75" s="138" t="str">
        <f ca="1">Res!D32</f>
        <v/>
      </c>
      <c r="E75" s="138" t="str">
        <f ca="1">Res!E32</f>
        <v/>
      </c>
      <c r="F75" s="138" t="str">
        <f ca="1">Res!F32</f>
        <v/>
      </c>
      <c r="G75" s="138" t="str">
        <f ca="1">Res!G32</f>
        <v/>
      </c>
      <c r="H75" s="138" t="str">
        <f ca="1">Res!H32</f>
        <v/>
      </c>
      <c r="I75" s="138" t="str">
        <f ca="1">Res!I32</f>
        <v/>
      </c>
      <c r="J75" s="138" t="str">
        <f ca="1">Res!J32</f>
        <v/>
      </c>
      <c r="K75" s="138" t="str">
        <f ca="1">Res!K32</f>
        <v/>
      </c>
      <c r="L75" s="138" t="str">
        <f ca="1">Res!L32</f>
        <v/>
      </c>
      <c r="M75" s="138" t="str">
        <f ca="1">Res!M32</f>
        <v/>
      </c>
      <c r="N75" s="138" t="str">
        <f ca="1">Res!N32</f>
        <v/>
      </c>
      <c r="O75" s="139" t="str">
        <f ca="1">Res!O32</f>
        <v/>
      </c>
    </row>
    <row r="76" spans="2:15" ht="15" customHeight="1" x14ac:dyDescent="0.25">
      <c r="B76" s="134" t="str">
        <f ca="1">Res!B33</f>
        <v/>
      </c>
      <c r="C76" s="138" t="str">
        <f ca="1">Res!C33</f>
        <v/>
      </c>
      <c r="D76" s="138" t="str">
        <f ca="1">Res!D33</f>
        <v/>
      </c>
      <c r="E76" s="138" t="str">
        <f ca="1">Res!E33</f>
        <v/>
      </c>
      <c r="F76" s="138" t="str">
        <f ca="1">Res!F33</f>
        <v/>
      </c>
      <c r="G76" s="138" t="str">
        <f ca="1">Res!G33</f>
        <v/>
      </c>
      <c r="H76" s="138" t="str">
        <f ca="1">Res!H33</f>
        <v/>
      </c>
      <c r="I76" s="138" t="str">
        <f ca="1">Res!I33</f>
        <v/>
      </c>
      <c r="J76" s="138" t="str">
        <f ca="1">Res!J33</f>
        <v/>
      </c>
      <c r="K76" s="138" t="str">
        <f ca="1">Res!K33</f>
        <v/>
      </c>
      <c r="L76" s="138" t="str">
        <f ca="1">Res!L33</f>
        <v/>
      </c>
      <c r="M76" s="138" t="str">
        <f ca="1">Res!M33</f>
        <v/>
      </c>
      <c r="N76" s="138" t="str">
        <f ca="1">Res!N33</f>
        <v/>
      </c>
      <c r="O76" s="139" t="str">
        <f ca="1">Res!O33</f>
        <v/>
      </c>
    </row>
    <row r="77" spans="2:15" ht="15" customHeight="1" x14ac:dyDescent="0.25">
      <c r="B77" s="134" t="str">
        <f ca="1">Res!B34</f>
        <v/>
      </c>
      <c r="C77" s="138" t="str">
        <f ca="1">Res!C34</f>
        <v/>
      </c>
      <c r="D77" s="138" t="str">
        <f ca="1">Res!D34</f>
        <v/>
      </c>
      <c r="E77" s="138" t="str">
        <f ca="1">Res!E34</f>
        <v/>
      </c>
      <c r="F77" s="138" t="str">
        <f ca="1">Res!F34</f>
        <v/>
      </c>
      <c r="G77" s="138" t="str">
        <f ca="1">Res!G34</f>
        <v/>
      </c>
      <c r="H77" s="138" t="str">
        <f ca="1">Res!H34</f>
        <v/>
      </c>
      <c r="I77" s="138" t="str">
        <f ca="1">Res!I34</f>
        <v/>
      </c>
      <c r="J77" s="138" t="str">
        <f ca="1">Res!J34</f>
        <v/>
      </c>
      <c r="K77" s="138" t="str">
        <f ca="1">Res!K34</f>
        <v/>
      </c>
      <c r="L77" s="138" t="str">
        <f ca="1">Res!L34</f>
        <v/>
      </c>
      <c r="M77" s="138" t="str">
        <f ca="1">Res!M34</f>
        <v/>
      </c>
      <c r="N77" s="138" t="str">
        <f ca="1">Res!N34</f>
        <v/>
      </c>
      <c r="O77" s="139" t="str">
        <f ca="1">Res!O34</f>
        <v/>
      </c>
    </row>
    <row r="78" spans="2:15" ht="15" customHeight="1" x14ac:dyDescent="0.25">
      <c r="B78" s="110" t="str">
        <f>Res!B35</f>
        <v>Total</v>
      </c>
      <c r="C78" s="139">
        <f ca="1">Res!C35</f>
        <v>1</v>
      </c>
      <c r="D78" s="139">
        <f ca="1">Res!D35</f>
        <v>0</v>
      </c>
      <c r="E78" s="139">
        <f ca="1">Res!E35</f>
        <v>0</v>
      </c>
      <c r="F78" s="139">
        <f ca="1">Res!F35</f>
        <v>0</v>
      </c>
      <c r="G78" s="139">
        <f ca="1">Res!G35</f>
        <v>0</v>
      </c>
      <c r="H78" s="139">
        <f ca="1">Res!H35</f>
        <v>0</v>
      </c>
      <c r="I78" s="139">
        <f ca="1">Res!I35</f>
        <v>0</v>
      </c>
      <c r="J78" s="139">
        <f ca="1">Res!J35</f>
        <v>0</v>
      </c>
      <c r="K78" s="139">
        <f ca="1">Res!K35</f>
        <v>0</v>
      </c>
      <c r="L78" s="139">
        <f ca="1">Res!L35</f>
        <v>0</v>
      </c>
      <c r="M78" s="139">
        <f ca="1">Res!M35</f>
        <v>0</v>
      </c>
      <c r="N78" s="139">
        <f ca="1">Res!N35</f>
        <v>0</v>
      </c>
      <c r="O78" s="137"/>
    </row>
    <row r="109" spans="2:15" ht="18.75" x14ac:dyDescent="0.3">
      <c r="B109" s="133" t="s">
        <v>59</v>
      </c>
    </row>
    <row r="110" spans="2:15" ht="15" customHeight="1" x14ac:dyDescent="0.25">
      <c r="B110" s="69" t="str">
        <f>Res!B38</f>
        <v>Equipamento</v>
      </c>
      <c r="C110" s="106" t="str">
        <f>Res!C38</f>
        <v>Janeiro</v>
      </c>
      <c r="D110" s="106" t="str">
        <f>Res!D38</f>
        <v>Fevereiro</v>
      </c>
      <c r="E110" s="106" t="str">
        <f>Res!E38</f>
        <v>Março</v>
      </c>
      <c r="F110" s="106" t="str">
        <f>Res!F38</f>
        <v>Abril</v>
      </c>
      <c r="G110" s="106" t="str">
        <f>Res!G38</f>
        <v>Maio</v>
      </c>
      <c r="H110" s="106" t="str">
        <f>Res!H38</f>
        <v>Junho</v>
      </c>
      <c r="I110" s="106" t="str">
        <f>Res!I38</f>
        <v>Julho</v>
      </c>
      <c r="J110" s="106" t="str">
        <f>Res!J38</f>
        <v>Agosto</v>
      </c>
      <c r="K110" s="106" t="str">
        <f>Res!K38</f>
        <v>Setembro</v>
      </c>
      <c r="L110" s="106" t="str">
        <f>Res!L38</f>
        <v>Outubro</v>
      </c>
      <c r="M110" s="106" t="str">
        <f>Res!M38</f>
        <v>Novembro</v>
      </c>
      <c r="N110" s="106" t="str">
        <f>Res!N38</f>
        <v>Dezembro</v>
      </c>
      <c r="O110" s="106" t="str">
        <f>Res!O38</f>
        <v>Total</v>
      </c>
    </row>
    <row r="111" spans="2:15" ht="15" customHeight="1" x14ac:dyDescent="0.25">
      <c r="B111" s="134" t="str">
        <f ca="1">Res!B39</f>
        <v>Administrativo - Câmera 1</v>
      </c>
      <c r="C111" s="135">
        <f ca="1">Res!C39</f>
        <v>0.26380345476354705</v>
      </c>
      <c r="D111" s="135">
        <f ca="1">Res!D39</f>
        <v>0</v>
      </c>
      <c r="E111" s="135">
        <f ca="1">Res!E39</f>
        <v>0</v>
      </c>
      <c r="F111" s="135">
        <f ca="1">Res!F39</f>
        <v>0</v>
      </c>
      <c r="G111" s="135">
        <f ca="1">Res!G39</f>
        <v>0</v>
      </c>
      <c r="H111" s="135">
        <f ca="1">Res!H39</f>
        <v>0</v>
      </c>
      <c r="I111" s="135">
        <f ca="1">Res!I39</f>
        <v>0</v>
      </c>
      <c r="J111" s="135">
        <f ca="1">Res!J39</f>
        <v>0</v>
      </c>
      <c r="K111" s="135">
        <f ca="1">Res!K39</f>
        <v>0</v>
      </c>
      <c r="L111" s="135">
        <f ca="1">Res!L39</f>
        <v>0</v>
      </c>
      <c r="M111" s="135">
        <f ca="1">Res!M39</f>
        <v>0</v>
      </c>
      <c r="N111" s="135">
        <f ca="1">Res!N39</f>
        <v>0</v>
      </c>
      <c r="O111" s="136">
        <f ca="1">Res!O39</f>
        <v>0.26380345476354705</v>
      </c>
    </row>
    <row r="112" spans="2:15" ht="15" customHeight="1" x14ac:dyDescent="0.25">
      <c r="B112" s="134" t="str">
        <f ca="1">Res!B40</f>
        <v>Administrativo - Sensor 1</v>
      </c>
      <c r="C112" s="135">
        <f ca="1">Res!C40</f>
        <v>0</v>
      </c>
      <c r="D112" s="135">
        <f ca="1">Res!D40</f>
        <v>0</v>
      </c>
      <c r="E112" s="135">
        <f ca="1">Res!E40</f>
        <v>0</v>
      </c>
      <c r="F112" s="135">
        <f ca="1">Res!F40</f>
        <v>0</v>
      </c>
      <c r="G112" s="135">
        <f ca="1">Res!G40</f>
        <v>0</v>
      </c>
      <c r="H112" s="135">
        <f ca="1">Res!H40</f>
        <v>0</v>
      </c>
      <c r="I112" s="135">
        <f ca="1">Res!I40</f>
        <v>0</v>
      </c>
      <c r="J112" s="135">
        <f ca="1">Res!J40</f>
        <v>0</v>
      </c>
      <c r="K112" s="135">
        <f ca="1">Res!K40</f>
        <v>0</v>
      </c>
      <c r="L112" s="135">
        <f ca="1">Res!L40</f>
        <v>0</v>
      </c>
      <c r="M112" s="135">
        <f ca="1">Res!M40</f>
        <v>0</v>
      </c>
      <c r="N112" s="135">
        <f ca="1">Res!N40</f>
        <v>0</v>
      </c>
      <c r="O112" s="136">
        <f ca="1">Res!O40</f>
        <v>0</v>
      </c>
    </row>
    <row r="113" spans="2:15" ht="15" customHeight="1" x14ac:dyDescent="0.25">
      <c r="B113" s="134" t="str">
        <f ca="1">Res!B41</f>
        <v>Administrativo - Central de alarme 1</v>
      </c>
      <c r="C113" s="135">
        <f ca="1">Res!C41</f>
        <v>0</v>
      </c>
      <c r="D113" s="135">
        <f ca="1">Res!D41</f>
        <v>0</v>
      </c>
      <c r="E113" s="135">
        <f ca="1">Res!E41</f>
        <v>0</v>
      </c>
      <c r="F113" s="135">
        <f ca="1">Res!F41</f>
        <v>0</v>
      </c>
      <c r="G113" s="135">
        <f ca="1">Res!G41</f>
        <v>0</v>
      </c>
      <c r="H113" s="135">
        <f ca="1">Res!H41</f>
        <v>0</v>
      </c>
      <c r="I113" s="135">
        <f ca="1">Res!I41</f>
        <v>0</v>
      </c>
      <c r="J113" s="135">
        <f ca="1">Res!J41</f>
        <v>0</v>
      </c>
      <c r="K113" s="135">
        <f ca="1">Res!K41</f>
        <v>0</v>
      </c>
      <c r="L113" s="135">
        <f ca="1">Res!L41</f>
        <v>0</v>
      </c>
      <c r="M113" s="135">
        <f ca="1">Res!M41</f>
        <v>0</v>
      </c>
      <c r="N113" s="135">
        <f ca="1">Res!N41</f>
        <v>0</v>
      </c>
      <c r="O113" s="136">
        <f ca="1">Res!O41</f>
        <v>0</v>
      </c>
    </row>
    <row r="114" spans="2:15" ht="15" customHeight="1" x14ac:dyDescent="0.25">
      <c r="B114" s="134" t="str">
        <f ca="1">Res!B42</f>
        <v>Administrativo - Servidor 1</v>
      </c>
      <c r="C114" s="135">
        <f ca="1">Res!C42</f>
        <v>0</v>
      </c>
      <c r="D114" s="135">
        <f ca="1">Res!D42</f>
        <v>0</v>
      </c>
      <c r="E114" s="135">
        <f ca="1">Res!E42</f>
        <v>0</v>
      </c>
      <c r="F114" s="135">
        <f ca="1">Res!F42</f>
        <v>0</v>
      </c>
      <c r="G114" s="135">
        <f ca="1">Res!G42</f>
        <v>0</v>
      </c>
      <c r="H114" s="135">
        <f ca="1">Res!H42</f>
        <v>0</v>
      </c>
      <c r="I114" s="135">
        <f ca="1">Res!I42</f>
        <v>0</v>
      </c>
      <c r="J114" s="135">
        <f ca="1">Res!J42</f>
        <v>0</v>
      </c>
      <c r="K114" s="135">
        <f ca="1">Res!K42</f>
        <v>0</v>
      </c>
      <c r="L114" s="135">
        <f ca="1">Res!L42</f>
        <v>0</v>
      </c>
      <c r="M114" s="135">
        <f ca="1">Res!M42</f>
        <v>0</v>
      </c>
      <c r="N114" s="135">
        <f ca="1">Res!N42</f>
        <v>0</v>
      </c>
      <c r="O114" s="136">
        <f ca="1">Res!O42</f>
        <v>0</v>
      </c>
    </row>
    <row r="115" spans="2:15" ht="15" customHeight="1" x14ac:dyDescent="0.25">
      <c r="B115" s="134" t="str">
        <f ca="1">Res!B43</f>
        <v>Administrativo - DVR 1</v>
      </c>
      <c r="C115" s="135">
        <f ca="1">Res!C43</f>
        <v>0</v>
      </c>
      <c r="D115" s="135">
        <f ca="1">Res!D43</f>
        <v>0</v>
      </c>
      <c r="E115" s="135">
        <f ca="1">Res!E43</f>
        <v>0</v>
      </c>
      <c r="F115" s="135">
        <f ca="1">Res!F43</f>
        <v>0</v>
      </c>
      <c r="G115" s="135">
        <f ca="1">Res!G43</f>
        <v>0</v>
      </c>
      <c r="H115" s="135">
        <f ca="1">Res!H43</f>
        <v>0</v>
      </c>
      <c r="I115" s="135">
        <f ca="1">Res!I43</f>
        <v>0</v>
      </c>
      <c r="J115" s="135">
        <f ca="1">Res!J43</f>
        <v>0</v>
      </c>
      <c r="K115" s="135">
        <f ca="1">Res!K43</f>
        <v>0</v>
      </c>
      <c r="L115" s="135">
        <f ca="1">Res!L43</f>
        <v>0</v>
      </c>
      <c r="M115" s="135">
        <f ca="1">Res!M43</f>
        <v>0</v>
      </c>
      <c r="N115" s="135">
        <f ca="1">Res!N43</f>
        <v>0</v>
      </c>
      <c r="O115" s="136">
        <f ca="1">Res!O43</f>
        <v>0</v>
      </c>
    </row>
    <row r="116" spans="2:15" ht="15" customHeight="1" x14ac:dyDescent="0.25">
      <c r="B116" s="134" t="str">
        <f ca="1">Res!B44</f>
        <v/>
      </c>
      <c r="C116" s="135" t="str">
        <f ca="1">Res!C44</f>
        <v/>
      </c>
      <c r="D116" s="135" t="str">
        <f ca="1">Res!D44</f>
        <v/>
      </c>
      <c r="E116" s="135" t="str">
        <f ca="1">Res!E44</f>
        <v/>
      </c>
      <c r="F116" s="135" t="str">
        <f ca="1">Res!F44</f>
        <v/>
      </c>
      <c r="G116" s="135" t="str">
        <f ca="1">Res!G44</f>
        <v/>
      </c>
      <c r="H116" s="135" t="str">
        <f ca="1">Res!H44</f>
        <v/>
      </c>
      <c r="I116" s="135" t="str">
        <f ca="1">Res!I44</f>
        <v/>
      </c>
      <c r="J116" s="135" t="str">
        <f ca="1">Res!J44</f>
        <v/>
      </c>
      <c r="K116" s="135" t="str">
        <f ca="1">Res!K44</f>
        <v/>
      </c>
      <c r="L116" s="135" t="str">
        <f ca="1">Res!L44</f>
        <v/>
      </c>
      <c r="M116" s="135" t="str">
        <f ca="1">Res!M44</f>
        <v/>
      </c>
      <c r="N116" s="135" t="str">
        <f ca="1">Res!N44</f>
        <v/>
      </c>
      <c r="O116" s="136" t="str">
        <f ca="1">Res!O44</f>
        <v/>
      </c>
    </row>
    <row r="117" spans="2:15" ht="15" customHeight="1" x14ac:dyDescent="0.25">
      <c r="B117" s="134" t="str">
        <f ca="1">Res!B45</f>
        <v/>
      </c>
      <c r="C117" s="135" t="str">
        <f ca="1">Res!C45</f>
        <v/>
      </c>
      <c r="D117" s="135" t="str">
        <f ca="1">Res!D45</f>
        <v/>
      </c>
      <c r="E117" s="135" t="str">
        <f ca="1">Res!E45</f>
        <v/>
      </c>
      <c r="F117" s="135" t="str">
        <f ca="1">Res!F45</f>
        <v/>
      </c>
      <c r="G117" s="135" t="str">
        <f ca="1">Res!G45</f>
        <v/>
      </c>
      <c r="H117" s="135" t="str">
        <f ca="1">Res!H45</f>
        <v/>
      </c>
      <c r="I117" s="135" t="str">
        <f ca="1">Res!I45</f>
        <v/>
      </c>
      <c r="J117" s="135" t="str">
        <f ca="1">Res!J45</f>
        <v/>
      </c>
      <c r="K117" s="135" t="str">
        <f ca="1">Res!K45</f>
        <v/>
      </c>
      <c r="L117" s="135" t="str">
        <f ca="1">Res!L45</f>
        <v/>
      </c>
      <c r="M117" s="135" t="str">
        <f ca="1">Res!M45</f>
        <v/>
      </c>
      <c r="N117" s="135" t="str">
        <f ca="1">Res!N45</f>
        <v/>
      </c>
      <c r="O117" s="136" t="str">
        <f ca="1">Res!O45</f>
        <v/>
      </c>
    </row>
    <row r="118" spans="2:15" ht="15" customHeight="1" x14ac:dyDescent="0.25">
      <c r="B118" s="134" t="str">
        <f ca="1">Res!B46</f>
        <v/>
      </c>
      <c r="C118" s="135" t="str">
        <f ca="1">Res!C46</f>
        <v/>
      </c>
      <c r="D118" s="135" t="str">
        <f ca="1">Res!D46</f>
        <v/>
      </c>
      <c r="E118" s="135" t="str">
        <f ca="1">Res!E46</f>
        <v/>
      </c>
      <c r="F118" s="135" t="str">
        <f ca="1">Res!F46</f>
        <v/>
      </c>
      <c r="G118" s="135" t="str">
        <f ca="1">Res!G46</f>
        <v/>
      </c>
      <c r="H118" s="135" t="str">
        <f ca="1">Res!H46</f>
        <v/>
      </c>
      <c r="I118" s="135" t="str">
        <f ca="1">Res!I46</f>
        <v/>
      </c>
      <c r="J118" s="135" t="str">
        <f ca="1">Res!J46</f>
        <v/>
      </c>
      <c r="K118" s="135" t="str">
        <f ca="1">Res!K46</f>
        <v/>
      </c>
      <c r="L118" s="135" t="str">
        <f ca="1">Res!L46</f>
        <v/>
      </c>
      <c r="M118" s="135" t="str">
        <f ca="1">Res!M46</f>
        <v/>
      </c>
      <c r="N118" s="135" t="str">
        <f ca="1">Res!N46</f>
        <v/>
      </c>
      <c r="O118" s="136" t="str">
        <f ca="1">Res!O46</f>
        <v/>
      </c>
    </row>
    <row r="119" spans="2:15" ht="15" customHeight="1" x14ac:dyDescent="0.25">
      <c r="B119" s="134" t="str">
        <f ca="1">Res!B47</f>
        <v/>
      </c>
      <c r="C119" s="135" t="str">
        <f ca="1">Res!C47</f>
        <v/>
      </c>
      <c r="D119" s="135" t="str">
        <f ca="1">Res!D47</f>
        <v/>
      </c>
      <c r="E119" s="135" t="str">
        <f ca="1">Res!E47</f>
        <v/>
      </c>
      <c r="F119" s="135" t="str">
        <f ca="1">Res!F47</f>
        <v/>
      </c>
      <c r="G119" s="135" t="str">
        <f ca="1">Res!G47</f>
        <v/>
      </c>
      <c r="H119" s="135" t="str">
        <f ca="1">Res!H47</f>
        <v/>
      </c>
      <c r="I119" s="135" t="str">
        <f ca="1">Res!I47</f>
        <v/>
      </c>
      <c r="J119" s="135" t="str">
        <f ca="1">Res!J47</f>
        <v/>
      </c>
      <c r="K119" s="135" t="str">
        <f ca="1">Res!K47</f>
        <v/>
      </c>
      <c r="L119" s="135" t="str">
        <f ca="1">Res!L47</f>
        <v/>
      </c>
      <c r="M119" s="135" t="str">
        <f ca="1">Res!M47</f>
        <v/>
      </c>
      <c r="N119" s="135" t="str">
        <f ca="1">Res!N47</f>
        <v/>
      </c>
      <c r="O119" s="136" t="str">
        <f ca="1">Res!O47</f>
        <v/>
      </c>
    </row>
    <row r="120" spans="2:15" ht="15" customHeight="1" x14ac:dyDescent="0.25">
      <c r="B120" s="134" t="str">
        <f ca="1">Res!B48</f>
        <v/>
      </c>
      <c r="C120" s="135" t="str">
        <f ca="1">Res!C48</f>
        <v/>
      </c>
      <c r="D120" s="135" t="str">
        <f ca="1">Res!D48</f>
        <v/>
      </c>
      <c r="E120" s="135" t="str">
        <f ca="1">Res!E48</f>
        <v/>
      </c>
      <c r="F120" s="135" t="str">
        <f ca="1">Res!F48</f>
        <v/>
      </c>
      <c r="G120" s="135" t="str">
        <f ca="1">Res!G48</f>
        <v/>
      </c>
      <c r="H120" s="135" t="str">
        <f ca="1">Res!H48</f>
        <v/>
      </c>
      <c r="I120" s="135" t="str">
        <f ca="1">Res!I48</f>
        <v/>
      </c>
      <c r="J120" s="135" t="str">
        <f ca="1">Res!J48</f>
        <v/>
      </c>
      <c r="K120" s="135" t="str">
        <f ca="1">Res!K48</f>
        <v/>
      </c>
      <c r="L120" s="135" t="str">
        <f ca="1">Res!L48</f>
        <v/>
      </c>
      <c r="M120" s="135" t="str">
        <f ca="1">Res!M48</f>
        <v/>
      </c>
      <c r="N120" s="135" t="str">
        <f ca="1">Res!N48</f>
        <v/>
      </c>
      <c r="O120" s="136" t="str">
        <f ca="1">Res!O48</f>
        <v/>
      </c>
    </row>
    <row r="121" spans="2:15" ht="15" customHeight="1" x14ac:dyDescent="0.25">
      <c r="B121" s="140" t="str">
        <f>Res!B49</f>
        <v>Total</v>
      </c>
      <c r="C121" s="136">
        <f ca="1">Res!C49</f>
        <v>0.26380345476354705</v>
      </c>
      <c r="D121" s="136">
        <f ca="1">Res!D49</f>
        <v>0</v>
      </c>
      <c r="E121" s="136">
        <f ca="1">Res!E49</f>
        <v>0</v>
      </c>
      <c r="F121" s="136">
        <f ca="1">Res!F49</f>
        <v>0</v>
      </c>
      <c r="G121" s="136">
        <f ca="1">Res!G49</f>
        <v>0</v>
      </c>
      <c r="H121" s="136">
        <f ca="1">Res!H49</f>
        <v>0</v>
      </c>
      <c r="I121" s="136">
        <f ca="1">Res!I49</f>
        <v>0</v>
      </c>
      <c r="J121" s="136">
        <f ca="1">Res!J49</f>
        <v>0</v>
      </c>
      <c r="K121" s="136">
        <f ca="1">Res!K49</f>
        <v>0</v>
      </c>
      <c r="L121" s="136">
        <f ca="1">Res!L49</f>
        <v>0</v>
      </c>
      <c r="M121" s="136">
        <f ca="1">Res!M49</f>
        <v>0</v>
      </c>
      <c r="N121" s="136">
        <f ca="1">Res!N49</f>
        <v>0</v>
      </c>
      <c r="O121" s="137">
        <f>Res!O49</f>
        <v>0</v>
      </c>
    </row>
    <row r="152" spans="2:15" ht="18.75" x14ac:dyDescent="0.3">
      <c r="B152" s="133" t="s">
        <v>58</v>
      </c>
    </row>
    <row r="153" spans="2:15" ht="15" customHeight="1" x14ac:dyDescent="0.25">
      <c r="B153" s="69" t="str">
        <f>Res!B52</f>
        <v>Equipamento</v>
      </c>
      <c r="C153" s="106" t="str">
        <f>Res!C52</f>
        <v>Janeiro</v>
      </c>
      <c r="D153" s="106" t="str">
        <f>Res!D52</f>
        <v>Fevereiro</v>
      </c>
      <c r="E153" s="106" t="str">
        <f>Res!E52</f>
        <v>Março</v>
      </c>
      <c r="F153" s="106" t="str">
        <f>Res!F52</f>
        <v>Abril</v>
      </c>
      <c r="G153" s="106" t="str">
        <f>Res!G52</f>
        <v>Maio</v>
      </c>
      <c r="H153" s="106" t="str">
        <f>Res!H52</f>
        <v>Junho</v>
      </c>
      <c r="I153" s="106" t="str">
        <f>Res!I52</f>
        <v>Julho</v>
      </c>
      <c r="J153" s="106" t="str">
        <f>Res!J52</f>
        <v>Agosto</v>
      </c>
      <c r="K153" s="106" t="str">
        <f>Res!K52</f>
        <v>Setembro</v>
      </c>
      <c r="L153" s="106" t="str">
        <f>Res!L52</f>
        <v>Outubro</v>
      </c>
      <c r="M153" s="106" t="str">
        <f>Res!M52</f>
        <v>Novembro</v>
      </c>
      <c r="N153" s="106" t="str">
        <f>Res!N52</f>
        <v>Dezembro</v>
      </c>
      <c r="O153" s="106" t="str">
        <f>Res!O52</f>
        <v>Total</v>
      </c>
    </row>
    <row r="154" spans="2:15" ht="15" customHeight="1" x14ac:dyDescent="0.25">
      <c r="B154" s="134" t="str">
        <f ca="1">Res!B53</f>
        <v>Administrativo - Câmera 1</v>
      </c>
      <c r="C154" s="138">
        <f ca="1">Res!C53</f>
        <v>1</v>
      </c>
      <c r="D154" s="138">
        <f ca="1">Res!D53</f>
        <v>0</v>
      </c>
      <c r="E154" s="138">
        <f ca="1">Res!E53</f>
        <v>0</v>
      </c>
      <c r="F154" s="138">
        <f ca="1">Res!F53</f>
        <v>0</v>
      </c>
      <c r="G154" s="138">
        <f ca="1">Res!G53</f>
        <v>0</v>
      </c>
      <c r="H154" s="138">
        <f ca="1">Res!H53</f>
        <v>0</v>
      </c>
      <c r="I154" s="138">
        <f ca="1">Res!I53</f>
        <v>0</v>
      </c>
      <c r="J154" s="138">
        <f ca="1">Res!J53</f>
        <v>0</v>
      </c>
      <c r="K154" s="138">
        <f ca="1">Res!K53</f>
        <v>0</v>
      </c>
      <c r="L154" s="138">
        <f ca="1">Res!L53</f>
        <v>0</v>
      </c>
      <c r="M154" s="138">
        <f ca="1">Res!M53</f>
        <v>0</v>
      </c>
      <c r="N154" s="138">
        <f ca="1">Res!N53</f>
        <v>0</v>
      </c>
      <c r="O154" s="139">
        <f ca="1">Res!O53</f>
        <v>1</v>
      </c>
    </row>
    <row r="155" spans="2:15" ht="15" customHeight="1" x14ac:dyDescent="0.25">
      <c r="B155" s="134" t="str">
        <f ca="1">Res!B54</f>
        <v>Administrativo - Sensor 1</v>
      </c>
      <c r="C155" s="138">
        <f ca="1">Res!C54</f>
        <v>0</v>
      </c>
      <c r="D155" s="138">
        <f ca="1">Res!D54</f>
        <v>0</v>
      </c>
      <c r="E155" s="138">
        <f ca="1">Res!E54</f>
        <v>0</v>
      </c>
      <c r="F155" s="138">
        <f ca="1">Res!F54</f>
        <v>0</v>
      </c>
      <c r="G155" s="138">
        <f ca="1">Res!G54</f>
        <v>0</v>
      </c>
      <c r="H155" s="138">
        <f ca="1">Res!H54</f>
        <v>0</v>
      </c>
      <c r="I155" s="138">
        <f ca="1">Res!I54</f>
        <v>0</v>
      </c>
      <c r="J155" s="138">
        <f ca="1">Res!J54</f>
        <v>0</v>
      </c>
      <c r="K155" s="138">
        <f ca="1">Res!K54</f>
        <v>0</v>
      </c>
      <c r="L155" s="138">
        <f ca="1">Res!L54</f>
        <v>0</v>
      </c>
      <c r="M155" s="138">
        <f ca="1">Res!M54</f>
        <v>0</v>
      </c>
      <c r="N155" s="138">
        <f ca="1">Res!N54</f>
        <v>0</v>
      </c>
      <c r="O155" s="139">
        <f ca="1">Res!O54</f>
        <v>0</v>
      </c>
    </row>
    <row r="156" spans="2:15" ht="15" customHeight="1" x14ac:dyDescent="0.25">
      <c r="B156" s="134" t="str">
        <f ca="1">Res!B55</f>
        <v>Administrativo - Central de alarme 1</v>
      </c>
      <c r="C156" s="138">
        <f ca="1">Res!C55</f>
        <v>0</v>
      </c>
      <c r="D156" s="138">
        <f ca="1">Res!D55</f>
        <v>0</v>
      </c>
      <c r="E156" s="138">
        <f ca="1">Res!E55</f>
        <v>0</v>
      </c>
      <c r="F156" s="138">
        <f ca="1">Res!F55</f>
        <v>0</v>
      </c>
      <c r="G156" s="138">
        <f ca="1">Res!G55</f>
        <v>0</v>
      </c>
      <c r="H156" s="138">
        <f ca="1">Res!H55</f>
        <v>0</v>
      </c>
      <c r="I156" s="138">
        <f ca="1">Res!I55</f>
        <v>0</v>
      </c>
      <c r="J156" s="138">
        <f ca="1">Res!J55</f>
        <v>0</v>
      </c>
      <c r="K156" s="138">
        <f ca="1">Res!K55</f>
        <v>0</v>
      </c>
      <c r="L156" s="138">
        <f ca="1">Res!L55</f>
        <v>0</v>
      </c>
      <c r="M156" s="138">
        <f ca="1">Res!M55</f>
        <v>0</v>
      </c>
      <c r="N156" s="138">
        <f ca="1">Res!N55</f>
        <v>0</v>
      </c>
      <c r="O156" s="139">
        <f ca="1">Res!O55</f>
        <v>0</v>
      </c>
    </row>
    <row r="157" spans="2:15" ht="15" customHeight="1" x14ac:dyDescent="0.25">
      <c r="B157" s="134" t="str">
        <f ca="1">Res!B56</f>
        <v>Administrativo - Servidor 1</v>
      </c>
      <c r="C157" s="138">
        <f ca="1">Res!C56</f>
        <v>0</v>
      </c>
      <c r="D157" s="138">
        <f ca="1">Res!D56</f>
        <v>0</v>
      </c>
      <c r="E157" s="138">
        <f ca="1">Res!E56</f>
        <v>0</v>
      </c>
      <c r="F157" s="138">
        <f ca="1">Res!F56</f>
        <v>0</v>
      </c>
      <c r="G157" s="138">
        <f ca="1">Res!G56</f>
        <v>0</v>
      </c>
      <c r="H157" s="138">
        <f ca="1">Res!H56</f>
        <v>0</v>
      </c>
      <c r="I157" s="138">
        <f ca="1">Res!I56</f>
        <v>0</v>
      </c>
      <c r="J157" s="138">
        <f ca="1">Res!J56</f>
        <v>0</v>
      </c>
      <c r="K157" s="138">
        <f ca="1">Res!K56</f>
        <v>0</v>
      </c>
      <c r="L157" s="138">
        <f ca="1">Res!L56</f>
        <v>0</v>
      </c>
      <c r="M157" s="138">
        <f ca="1">Res!M56</f>
        <v>0</v>
      </c>
      <c r="N157" s="138">
        <f ca="1">Res!N56</f>
        <v>0</v>
      </c>
      <c r="O157" s="139">
        <f ca="1">Res!O56</f>
        <v>0</v>
      </c>
    </row>
    <row r="158" spans="2:15" ht="15" customHeight="1" x14ac:dyDescent="0.25">
      <c r="B158" s="134" t="str">
        <f ca="1">Res!B57</f>
        <v>Administrativo - DVR 1</v>
      </c>
      <c r="C158" s="138">
        <f ca="1">Res!C57</f>
        <v>0</v>
      </c>
      <c r="D158" s="138">
        <f ca="1">Res!D57</f>
        <v>0</v>
      </c>
      <c r="E158" s="138">
        <f ca="1">Res!E57</f>
        <v>0</v>
      </c>
      <c r="F158" s="138">
        <f ca="1">Res!F57</f>
        <v>0</v>
      </c>
      <c r="G158" s="138">
        <f ca="1">Res!G57</f>
        <v>0</v>
      </c>
      <c r="H158" s="138">
        <f ca="1">Res!H57</f>
        <v>0</v>
      </c>
      <c r="I158" s="138">
        <f ca="1">Res!I57</f>
        <v>0</v>
      </c>
      <c r="J158" s="138">
        <f ca="1">Res!J57</f>
        <v>0</v>
      </c>
      <c r="K158" s="138">
        <f ca="1">Res!K57</f>
        <v>0</v>
      </c>
      <c r="L158" s="138">
        <f ca="1">Res!L57</f>
        <v>0</v>
      </c>
      <c r="M158" s="138">
        <f ca="1">Res!M57</f>
        <v>0</v>
      </c>
      <c r="N158" s="138">
        <f ca="1">Res!N57</f>
        <v>0</v>
      </c>
      <c r="O158" s="139">
        <f ca="1">Res!O57</f>
        <v>0</v>
      </c>
    </row>
    <row r="159" spans="2:15" ht="15" customHeight="1" x14ac:dyDescent="0.25">
      <c r="B159" s="134" t="str">
        <f ca="1">Res!B58</f>
        <v/>
      </c>
      <c r="C159" s="138" t="str">
        <f ca="1">Res!C58</f>
        <v/>
      </c>
      <c r="D159" s="138" t="str">
        <f ca="1">Res!D58</f>
        <v/>
      </c>
      <c r="E159" s="138" t="str">
        <f ca="1">Res!E58</f>
        <v/>
      </c>
      <c r="F159" s="138" t="str">
        <f ca="1">Res!F58</f>
        <v/>
      </c>
      <c r="G159" s="138" t="str">
        <f ca="1">Res!G58</f>
        <v/>
      </c>
      <c r="H159" s="138" t="str">
        <f ca="1">Res!H58</f>
        <v/>
      </c>
      <c r="I159" s="138" t="str">
        <f ca="1">Res!I58</f>
        <v/>
      </c>
      <c r="J159" s="138" t="str">
        <f ca="1">Res!J58</f>
        <v/>
      </c>
      <c r="K159" s="138" t="str">
        <f ca="1">Res!K58</f>
        <v/>
      </c>
      <c r="L159" s="138" t="str">
        <f ca="1">Res!L58</f>
        <v/>
      </c>
      <c r="M159" s="138" t="str">
        <f ca="1">Res!M58</f>
        <v/>
      </c>
      <c r="N159" s="138" t="str">
        <f ca="1">Res!N58</f>
        <v/>
      </c>
      <c r="O159" s="139" t="str">
        <f ca="1">Res!O58</f>
        <v/>
      </c>
    </row>
    <row r="160" spans="2:15" ht="15" customHeight="1" x14ac:dyDescent="0.25">
      <c r="B160" s="134" t="str">
        <f ca="1">Res!B59</f>
        <v/>
      </c>
      <c r="C160" s="138" t="str">
        <f ca="1">Res!C59</f>
        <v/>
      </c>
      <c r="D160" s="138" t="str">
        <f ca="1">Res!D59</f>
        <v/>
      </c>
      <c r="E160" s="138" t="str">
        <f ca="1">Res!E59</f>
        <v/>
      </c>
      <c r="F160" s="138" t="str">
        <f ca="1">Res!F59</f>
        <v/>
      </c>
      <c r="G160" s="138" t="str">
        <f ca="1">Res!G59</f>
        <v/>
      </c>
      <c r="H160" s="138" t="str">
        <f ca="1">Res!H59</f>
        <v/>
      </c>
      <c r="I160" s="138" t="str">
        <f ca="1">Res!I59</f>
        <v/>
      </c>
      <c r="J160" s="138" t="str">
        <f ca="1">Res!J59</f>
        <v/>
      </c>
      <c r="K160" s="138" t="str">
        <f ca="1">Res!K59</f>
        <v/>
      </c>
      <c r="L160" s="138" t="str">
        <f ca="1">Res!L59</f>
        <v/>
      </c>
      <c r="M160" s="138" t="str">
        <f ca="1">Res!M59</f>
        <v/>
      </c>
      <c r="N160" s="138" t="str">
        <f ca="1">Res!N59</f>
        <v/>
      </c>
      <c r="O160" s="139" t="str">
        <f ca="1">Res!O59</f>
        <v/>
      </c>
    </row>
    <row r="161" spans="2:15" ht="15" customHeight="1" x14ac:dyDescent="0.25">
      <c r="B161" s="134" t="str">
        <f ca="1">Res!B60</f>
        <v/>
      </c>
      <c r="C161" s="138" t="str">
        <f ca="1">Res!C60</f>
        <v/>
      </c>
      <c r="D161" s="138" t="str">
        <f ca="1">Res!D60</f>
        <v/>
      </c>
      <c r="E161" s="138" t="str">
        <f ca="1">Res!E60</f>
        <v/>
      </c>
      <c r="F161" s="138" t="str">
        <f ca="1">Res!F60</f>
        <v/>
      </c>
      <c r="G161" s="138" t="str">
        <f ca="1">Res!G60</f>
        <v/>
      </c>
      <c r="H161" s="138" t="str">
        <f ca="1">Res!H60</f>
        <v/>
      </c>
      <c r="I161" s="138" t="str">
        <f ca="1">Res!I60</f>
        <v/>
      </c>
      <c r="J161" s="138" t="str">
        <f ca="1">Res!J60</f>
        <v/>
      </c>
      <c r="K161" s="138" t="str">
        <f ca="1">Res!K60</f>
        <v/>
      </c>
      <c r="L161" s="138" t="str">
        <f ca="1">Res!L60</f>
        <v/>
      </c>
      <c r="M161" s="138" t="str">
        <f ca="1">Res!M60</f>
        <v/>
      </c>
      <c r="N161" s="138" t="str">
        <f ca="1">Res!N60</f>
        <v/>
      </c>
      <c r="O161" s="139" t="str">
        <f ca="1">Res!O60</f>
        <v/>
      </c>
    </row>
    <row r="162" spans="2:15" ht="15" customHeight="1" x14ac:dyDescent="0.25">
      <c r="B162" s="134" t="str">
        <f ca="1">Res!B61</f>
        <v/>
      </c>
      <c r="C162" s="138" t="str">
        <f ca="1">Res!C61</f>
        <v/>
      </c>
      <c r="D162" s="138" t="str">
        <f ca="1">Res!D61</f>
        <v/>
      </c>
      <c r="E162" s="138" t="str">
        <f ca="1">Res!E61</f>
        <v/>
      </c>
      <c r="F162" s="138" t="str">
        <f ca="1">Res!F61</f>
        <v/>
      </c>
      <c r="G162" s="138" t="str">
        <f ca="1">Res!G61</f>
        <v/>
      </c>
      <c r="H162" s="138" t="str">
        <f ca="1">Res!H61</f>
        <v/>
      </c>
      <c r="I162" s="138" t="str">
        <f ca="1">Res!I61</f>
        <v/>
      </c>
      <c r="J162" s="138" t="str">
        <f ca="1">Res!J61</f>
        <v/>
      </c>
      <c r="K162" s="138" t="str">
        <f ca="1">Res!K61</f>
        <v/>
      </c>
      <c r="L162" s="138" t="str">
        <f ca="1">Res!L61</f>
        <v/>
      </c>
      <c r="M162" s="138" t="str">
        <f ca="1">Res!M61</f>
        <v/>
      </c>
      <c r="N162" s="138" t="str">
        <f ca="1">Res!N61</f>
        <v/>
      </c>
      <c r="O162" s="139" t="str">
        <f ca="1">Res!O61</f>
        <v/>
      </c>
    </row>
    <row r="163" spans="2:15" ht="15" customHeight="1" x14ac:dyDescent="0.25">
      <c r="B163" s="134" t="str">
        <f ca="1">Res!B62</f>
        <v/>
      </c>
      <c r="C163" s="138" t="str">
        <f ca="1">Res!C62</f>
        <v/>
      </c>
      <c r="D163" s="138" t="str">
        <f ca="1">Res!D62</f>
        <v/>
      </c>
      <c r="E163" s="138" t="str">
        <f ca="1">Res!E62</f>
        <v/>
      </c>
      <c r="F163" s="138" t="str">
        <f ca="1">Res!F62</f>
        <v/>
      </c>
      <c r="G163" s="138" t="str">
        <f ca="1">Res!G62</f>
        <v/>
      </c>
      <c r="H163" s="138" t="str">
        <f ca="1">Res!H62</f>
        <v/>
      </c>
      <c r="I163" s="138" t="str">
        <f ca="1">Res!I62</f>
        <v/>
      </c>
      <c r="J163" s="138" t="str">
        <f ca="1">Res!J62</f>
        <v/>
      </c>
      <c r="K163" s="138" t="str">
        <f ca="1">Res!K62</f>
        <v/>
      </c>
      <c r="L163" s="138" t="str">
        <f ca="1">Res!L62</f>
        <v/>
      </c>
      <c r="M163" s="138" t="str">
        <f ca="1">Res!M62</f>
        <v/>
      </c>
      <c r="N163" s="138" t="str">
        <f ca="1">Res!N62</f>
        <v/>
      </c>
      <c r="O163" s="139" t="str">
        <f ca="1">Res!O62</f>
        <v/>
      </c>
    </row>
    <row r="164" spans="2:15" ht="15" customHeight="1" x14ac:dyDescent="0.25">
      <c r="B164" s="140" t="str">
        <f>Res!B63</f>
        <v>Total</v>
      </c>
      <c r="C164" s="139">
        <f ca="1">Res!C63</f>
        <v>1</v>
      </c>
      <c r="D164" s="139">
        <f ca="1">Res!D63</f>
        <v>0</v>
      </c>
      <c r="E164" s="139">
        <f ca="1">Res!E63</f>
        <v>0</v>
      </c>
      <c r="F164" s="139">
        <f ca="1">Res!F63</f>
        <v>0</v>
      </c>
      <c r="G164" s="139">
        <f ca="1">Res!G63</f>
        <v>0</v>
      </c>
      <c r="H164" s="139">
        <f ca="1">Res!H63</f>
        <v>0</v>
      </c>
      <c r="I164" s="139">
        <f ca="1">Res!I63</f>
        <v>0</v>
      </c>
      <c r="J164" s="139">
        <f ca="1">Res!J63</f>
        <v>0</v>
      </c>
      <c r="K164" s="139">
        <f ca="1">Res!K63</f>
        <v>0</v>
      </c>
      <c r="L164" s="139">
        <f ca="1">Res!L63</f>
        <v>0</v>
      </c>
      <c r="M164" s="139">
        <f ca="1">Res!M63</f>
        <v>0</v>
      </c>
      <c r="N164" s="139">
        <f ca="1">Res!N63</f>
        <v>0</v>
      </c>
      <c r="O164" s="137">
        <f>Res!O63</f>
        <v>0</v>
      </c>
    </row>
    <row r="195" spans="2:15" ht="18.75" x14ac:dyDescent="0.3">
      <c r="B195" s="133" t="s">
        <v>110</v>
      </c>
    </row>
    <row r="196" spans="2:15" ht="15" customHeight="1" x14ac:dyDescent="0.25">
      <c r="B196" s="69" t="str">
        <f>Res!B66</f>
        <v>Setor</v>
      </c>
      <c r="C196" s="106" t="str">
        <f>Res!C66</f>
        <v>Janeiro</v>
      </c>
      <c r="D196" s="106" t="str">
        <f>Res!D66</f>
        <v>Fevereiro</v>
      </c>
      <c r="E196" s="106" t="str">
        <f>Res!E66</f>
        <v>Março</v>
      </c>
      <c r="F196" s="106" t="str">
        <f>Res!F66</f>
        <v>Abril</v>
      </c>
      <c r="G196" s="106" t="str">
        <f>Res!G66</f>
        <v>Maio</v>
      </c>
      <c r="H196" s="106" t="str">
        <f>Res!H66</f>
        <v>Junho</v>
      </c>
      <c r="I196" s="106" t="str">
        <f>Res!I66</f>
        <v>Julho</v>
      </c>
      <c r="J196" s="106" t="str">
        <f>Res!J66</f>
        <v>Agosto</v>
      </c>
      <c r="K196" s="106" t="str">
        <f>Res!K66</f>
        <v>Setembro</v>
      </c>
      <c r="L196" s="106" t="str">
        <f>Res!L66</f>
        <v>Outubro</v>
      </c>
      <c r="M196" s="106" t="str">
        <f>Res!M66</f>
        <v>Novembro</v>
      </c>
      <c r="N196" s="106" t="str">
        <f>Res!N66</f>
        <v>Dezembro</v>
      </c>
      <c r="O196" s="106" t="str">
        <f>Res!O66</f>
        <v>Total</v>
      </c>
    </row>
    <row r="197" spans="2:15" ht="15" customHeight="1" x14ac:dyDescent="0.25">
      <c r="B197" s="107" t="str">
        <f ca="1">Res!B67</f>
        <v>Administrativo</v>
      </c>
      <c r="C197" s="108">
        <f ca="1">Res!C67</f>
        <v>0.26380345476354705</v>
      </c>
      <c r="D197" s="108">
        <f ca="1">Res!D67</f>
        <v>0</v>
      </c>
      <c r="E197" s="108">
        <f ca="1">Res!E67</f>
        <v>0</v>
      </c>
      <c r="F197" s="108">
        <f ca="1">Res!F67</f>
        <v>0</v>
      </c>
      <c r="G197" s="108">
        <f ca="1">Res!G67</f>
        <v>0</v>
      </c>
      <c r="H197" s="108">
        <f ca="1">Res!H67</f>
        <v>0</v>
      </c>
      <c r="I197" s="108">
        <f ca="1">Res!I67</f>
        <v>0</v>
      </c>
      <c r="J197" s="108">
        <f ca="1">Res!J67</f>
        <v>0</v>
      </c>
      <c r="K197" s="108">
        <f ca="1">Res!K67</f>
        <v>0</v>
      </c>
      <c r="L197" s="108">
        <f ca="1">Res!L67</f>
        <v>0</v>
      </c>
      <c r="M197" s="108">
        <f ca="1">Res!M67</f>
        <v>0</v>
      </c>
      <c r="N197" s="108">
        <f ca="1">Res!N67</f>
        <v>0</v>
      </c>
      <c r="O197" s="109">
        <f ca="1">Res!O67</f>
        <v>0.26380345476354705</v>
      </c>
    </row>
    <row r="198" spans="2:15" ht="15" customHeight="1" x14ac:dyDescent="0.25">
      <c r="B198" s="107" t="str">
        <f ca="1">Res!B68</f>
        <v>Manutenção</v>
      </c>
      <c r="C198" s="108">
        <f ca="1">Res!C68</f>
        <v>0</v>
      </c>
      <c r="D198" s="108">
        <f ca="1">Res!D68</f>
        <v>0</v>
      </c>
      <c r="E198" s="108">
        <f ca="1">Res!E68</f>
        <v>0</v>
      </c>
      <c r="F198" s="108">
        <f ca="1">Res!F68</f>
        <v>0</v>
      </c>
      <c r="G198" s="108">
        <f ca="1">Res!G68</f>
        <v>0</v>
      </c>
      <c r="H198" s="108">
        <f ca="1">Res!H68</f>
        <v>0</v>
      </c>
      <c r="I198" s="108">
        <f ca="1">Res!I68</f>
        <v>0</v>
      </c>
      <c r="J198" s="108">
        <f ca="1">Res!J68</f>
        <v>0</v>
      </c>
      <c r="K198" s="108">
        <f ca="1">Res!K68</f>
        <v>0</v>
      </c>
      <c r="L198" s="108">
        <f ca="1">Res!L68</f>
        <v>0</v>
      </c>
      <c r="M198" s="108">
        <f ca="1">Res!M68</f>
        <v>0</v>
      </c>
      <c r="N198" s="108">
        <f ca="1">Res!N68</f>
        <v>0</v>
      </c>
      <c r="O198" s="109">
        <f ca="1">Res!O68</f>
        <v>0</v>
      </c>
    </row>
    <row r="199" spans="2:15" ht="15" customHeight="1" x14ac:dyDescent="0.25">
      <c r="B199" s="107" t="str">
        <f ca="1">Res!B69</f>
        <v>Suprimentos</v>
      </c>
      <c r="C199" s="108">
        <f ca="1">Res!C69</f>
        <v>0</v>
      </c>
      <c r="D199" s="108">
        <f ca="1">Res!D69</f>
        <v>0</v>
      </c>
      <c r="E199" s="108">
        <f ca="1">Res!E69</f>
        <v>0</v>
      </c>
      <c r="F199" s="108">
        <f ca="1">Res!F69</f>
        <v>0</v>
      </c>
      <c r="G199" s="108">
        <f ca="1">Res!G69</f>
        <v>0</v>
      </c>
      <c r="H199" s="108">
        <f ca="1">Res!H69</f>
        <v>0</v>
      </c>
      <c r="I199" s="108">
        <f ca="1">Res!I69</f>
        <v>0</v>
      </c>
      <c r="J199" s="108">
        <f ca="1">Res!J69</f>
        <v>0</v>
      </c>
      <c r="K199" s="108">
        <f ca="1">Res!K69</f>
        <v>0</v>
      </c>
      <c r="L199" s="108">
        <f ca="1">Res!L69</f>
        <v>0</v>
      </c>
      <c r="M199" s="108">
        <f ca="1">Res!M69</f>
        <v>0</v>
      </c>
      <c r="N199" s="108">
        <f ca="1">Res!N69</f>
        <v>0</v>
      </c>
      <c r="O199" s="109">
        <f ca="1">Res!O69</f>
        <v>0</v>
      </c>
    </row>
    <row r="200" spans="2:15" ht="15" customHeight="1" x14ac:dyDescent="0.25">
      <c r="B200" s="107" t="str">
        <f ca="1">Res!B70</f>
        <v>Operação</v>
      </c>
      <c r="C200" s="108">
        <f ca="1">Res!C70</f>
        <v>0</v>
      </c>
      <c r="D200" s="108">
        <f ca="1">Res!D70</f>
        <v>0</v>
      </c>
      <c r="E200" s="108">
        <f ca="1">Res!E70</f>
        <v>0</v>
      </c>
      <c r="F200" s="108">
        <f ca="1">Res!F70</f>
        <v>0</v>
      </c>
      <c r="G200" s="108">
        <f ca="1">Res!G70</f>
        <v>0</v>
      </c>
      <c r="H200" s="108">
        <f ca="1">Res!H70</f>
        <v>0</v>
      </c>
      <c r="I200" s="108">
        <f ca="1">Res!I70</f>
        <v>0</v>
      </c>
      <c r="J200" s="108">
        <f ca="1">Res!J70</f>
        <v>0</v>
      </c>
      <c r="K200" s="108">
        <f ca="1">Res!K70</f>
        <v>0</v>
      </c>
      <c r="L200" s="108">
        <f ca="1">Res!L70</f>
        <v>0</v>
      </c>
      <c r="M200" s="108">
        <f ca="1">Res!M70</f>
        <v>0</v>
      </c>
      <c r="N200" s="108">
        <f ca="1">Res!N70</f>
        <v>0</v>
      </c>
      <c r="O200" s="109">
        <f ca="1">Res!O70</f>
        <v>0</v>
      </c>
    </row>
    <row r="201" spans="2:15" ht="15" customHeight="1" x14ac:dyDescent="0.25">
      <c r="B201" s="107" t="str">
        <f ca="1">Res!B71</f>
        <v/>
      </c>
      <c r="C201" s="108" t="str">
        <f ca="1">Res!C71</f>
        <v/>
      </c>
      <c r="D201" s="108" t="str">
        <f ca="1">Res!D71</f>
        <v/>
      </c>
      <c r="E201" s="108" t="str">
        <f ca="1">Res!E71</f>
        <v/>
      </c>
      <c r="F201" s="108" t="str">
        <f ca="1">Res!F71</f>
        <v/>
      </c>
      <c r="G201" s="108" t="str">
        <f ca="1">Res!G71</f>
        <v/>
      </c>
      <c r="H201" s="108" t="str">
        <f ca="1">Res!H71</f>
        <v/>
      </c>
      <c r="I201" s="108" t="str">
        <f ca="1">Res!I71</f>
        <v/>
      </c>
      <c r="J201" s="108" t="str">
        <f ca="1">Res!J71</f>
        <v/>
      </c>
      <c r="K201" s="108" t="str">
        <f ca="1">Res!K71</f>
        <v/>
      </c>
      <c r="L201" s="108" t="str">
        <f ca="1">Res!L71</f>
        <v/>
      </c>
      <c r="M201" s="108" t="str">
        <f ca="1">Res!M71</f>
        <v/>
      </c>
      <c r="N201" s="108" t="str">
        <f ca="1">Res!N71</f>
        <v/>
      </c>
      <c r="O201" s="109" t="str">
        <f ca="1">Res!O71</f>
        <v/>
      </c>
    </row>
    <row r="202" spans="2:15" ht="15" customHeight="1" x14ac:dyDescent="0.25">
      <c r="B202" s="107" t="str">
        <f ca="1">Res!B72</f>
        <v/>
      </c>
      <c r="C202" s="108" t="str">
        <f ca="1">Res!C72</f>
        <v/>
      </c>
      <c r="D202" s="108" t="str">
        <f ca="1">Res!D72</f>
        <v/>
      </c>
      <c r="E202" s="108" t="str">
        <f ca="1">Res!E72</f>
        <v/>
      </c>
      <c r="F202" s="108" t="str">
        <f ca="1">Res!F72</f>
        <v/>
      </c>
      <c r="G202" s="108" t="str">
        <f ca="1">Res!G72</f>
        <v/>
      </c>
      <c r="H202" s="108" t="str">
        <f ca="1">Res!H72</f>
        <v/>
      </c>
      <c r="I202" s="108" t="str">
        <f ca="1">Res!I72</f>
        <v/>
      </c>
      <c r="J202" s="108" t="str">
        <f ca="1">Res!J72</f>
        <v/>
      </c>
      <c r="K202" s="108" t="str">
        <f ca="1">Res!K72</f>
        <v/>
      </c>
      <c r="L202" s="108" t="str">
        <f ca="1">Res!L72</f>
        <v/>
      </c>
      <c r="M202" s="108" t="str">
        <f ca="1">Res!M72</f>
        <v/>
      </c>
      <c r="N202" s="108" t="str">
        <f ca="1">Res!N72</f>
        <v/>
      </c>
      <c r="O202" s="109" t="str">
        <f ca="1">Res!O72</f>
        <v/>
      </c>
    </row>
    <row r="203" spans="2:15" ht="15" customHeight="1" x14ac:dyDescent="0.25">
      <c r="B203" s="107" t="str">
        <f ca="1">Res!B73</f>
        <v/>
      </c>
      <c r="C203" s="108" t="str">
        <f ca="1">Res!C73</f>
        <v/>
      </c>
      <c r="D203" s="108" t="str">
        <f ca="1">Res!D73</f>
        <v/>
      </c>
      <c r="E203" s="108" t="str">
        <f ca="1">Res!E73</f>
        <v/>
      </c>
      <c r="F203" s="108" t="str">
        <f ca="1">Res!F73</f>
        <v/>
      </c>
      <c r="G203" s="108" t="str">
        <f ca="1">Res!G73</f>
        <v/>
      </c>
      <c r="H203" s="108" t="str">
        <f ca="1">Res!H73</f>
        <v/>
      </c>
      <c r="I203" s="108" t="str">
        <f ca="1">Res!I73</f>
        <v/>
      </c>
      <c r="J203" s="108" t="str">
        <f ca="1">Res!J73</f>
        <v/>
      </c>
      <c r="K203" s="108" t="str">
        <f ca="1">Res!K73</f>
        <v/>
      </c>
      <c r="L203" s="108" t="str">
        <f ca="1">Res!L73</f>
        <v/>
      </c>
      <c r="M203" s="108" t="str">
        <f ca="1">Res!M73</f>
        <v/>
      </c>
      <c r="N203" s="108" t="str">
        <f ca="1">Res!N73</f>
        <v/>
      </c>
      <c r="O203" s="109" t="str">
        <f ca="1">Res!O73</f>
        <v/>
      </c>
    </row>
    <row r="204" spans="2:15" ht="15" customHeight="1" x14ac:dyDescent="0.25">
      <c r="B204" s="107" t="str">
        <f ca="1">Res!B74</f>
        <v/>
      </c>
      <c r="C204" s="108" t="str">
        <f ca="1">Res!C74</f>
        <v/>
      </c>
      <c r="D204" s="108" t="str">
        <f ca="1">Res!D74</f>
        <v/>
      </c>
      <c r="E204" s="108" t="str">
        <f ca="1">Res!E74</f>
        <v/>
      </c>
      <c r="F204" s="108" t="str">
        <f ca="1">Res!F74</f>
        <v/>
      </c>
      <c r="G204" s="108" t="str">
        <f ca="1">Res!G74</f>
        <v/>
      </c>
      <c r="H204" s="108" t="str">
        <f ca="1">Res!H74</f>
        <v/>
      </c>
      <c r="I204" s="108" t="str">
        <f ca="1">Res!I74</f>
        <v/>
      </c>
      <c r="J204" s="108" t="str">
        <f ca="1">Res!J74</f>
        <v/>
      </c>
      <c r="K204" s="108" t="str">
        <f ca="1">Res!K74</f>
        <v/>
      </c>
      <c r="L204" s="108" t="str">
        <f ca="1">Res!L74</f>
        <v/>
      </c>
      <c r="M204" s="108" t="str">
        <f ca="1">Res!M74</f>
        <v/>
      </c>
      <c r="N204" s="108" t="str">
        <f ca="1">Res!N74</f>
        <v/>
      </c>
      <c r="O204" s="109" t="str">
        <f ca="1">Res!O74</f>
        <v/>
      </c>
    </row>
    <row r="205" spans="2:15" ht="15" customHeight="1" x14ac:dyDescent="0.25">
      <c r="B205" s="107" t="str">
        <f ca="1">Res!B75</f>
        <v/>
      </c>
      <c r="C205" s="108" t="str">
        <f ca="1">Res!C75</f>
        <v/>
      </c>
      <c r="D205" s="108" t="str">
        <f ca="1">Res!D75</f>
        <v/>
      </c>
      <c r="E205" s="108" t="str">
        <f ca="1">Res!E75</f>
        <v/>
      </c>
      <c r="F205" s="108" t="str">
        <f ca="1">Res!F75</f>
        <v/>
      </c>
      <c r="G205" s="108" t="str">
        <f ca="1">Res!G75</f>
        <v/>
      </c>
      <c r="H205" s="108" t="str">
        <f ca="1">Res!H75</f>
        <v/>
      </c>
      <c r="I205" s="108" t="str">
        <f ca="1">Res!I75</f>
        <v/>
      </c>
      <c r="J205" s="108" t="str">
        <f ca="1">Res!J75</f>
        <v/>
      </c>
      <c r="K205" s="108" t="str">
        <f ca="1">Res!K75</f>
        <v/>
      </c>
      <c r="L205" s="108" t="str">
        <f ca="1">Res!L75</f>
        <v/>
      </c>
      <c r="M205" s="108" t="str">
        <f ca="1">Res!M75</f>
        <v/>
      </c>
      <c r="N205" s="108" t="str">
        <f ca="1">Res!N75</f>
        <v/>
      </c>
      <c r="O205" s="109" t="str">
        <f ca="1">Res!O75</f>
        <v/>
      </c>
    </row>
    <row r="206" spans="2:15" ht="15" customHeight="1" x14ac:dyDescent="0.25">
      <c r="B206" s="107" t="str">
        <f ca="1">Res!B76</f>
        <v/>
      </c>
      <c r="C206" s="108" t="str">
        <f ca="1">Res!C76</f>
        <v/>
      </c>
      <c r="D206" s="108" t="str">
        <f ca="1">Res!D76</f>
        <v/>
      </c>
      <c r="E206" s="108" t="str">
        <f ca="1">Res!E76</f>
        <v/>
      </c>
      <c r="F206" s="108" t="str">
        <f ca="1">Res!F76</f>
        <v/>
      </c>
      <c r="G206" s="108" t="str">
        <f ca="1">Res!G76</f>
        <v/>
      </c>
      <c r="H206" s="108" t="str">
        <f ca="1">Res!H76</f>
        <v/>
      </c>
      <c r="I206" s="108" t="str">
        <f ca="1">Res!I76</f>
        <v/>
      </c>
      <c r="J206" s="108" t="str">
        <f ca="1">Res!J76</f>
        <v/>
      </c>
      <c r="K206" s="108" t="str">
        <f ca="1">Res!K76</f>
        <v/>
      </c>
      <c r="L206" s="108" t="str">
        <f ca="1">Res!L76</f>
        <v/>
      </c>
      <c r="M206" s="108" t="str">
        <f ca="1">Res!M76</f>
        <v/>
      </c>
      <c r="N206" s="108" t="str">
        <f ca="1">Res!N76</f>
        <v/>
      </c>
      <c r="O206" s="109" t="str">
        <f ca="1">Res!O76</f>
        <v/>
      </c>
    </row>
    <row r="207" spans="2:15" ht="15" customHeight="1" x14ac:dyDescent="0.25">
      <c r="B207" s="110" t="str">
        <f>Res!B77</f>
        <v>Total</v>
      </c>
      <c r="C207" s="109">
        <f ca="1">Res!C77</f>
        <v>0.26380345476354705</v>
      </c>
      <c r="D207" s="109">
        <f ca="1">Res!D77</f>
        <v>0</v>
      </c>
      <c r="E207" s="109">
        <f ca="1">Res!E77</f>
        <v>0</v>
      </c>
      <c r="F207" s="109">
        <f ca="1">Res!F77</f>
        <v>0</v>
      </c>
      <c r="G207" s="109">
        <f ca="1">Res!G77</f>
        <v>0</v>
      </c>
      <c r="H207" s="109">
        <f ca="1">Res!H77</f>
        <v>0</v>
      </c>
      <c r="I207" s="109">
        <f ca="1">Res!I77</f>
        <v>0</v>
      </c>
      <c r="J207" s="109">
        <f ca="1">Res!J77</f>
        <v>0</v>
      </c>
      <c r="K207" s="109">
        <f ca="1">Res!K77</f>
        <v>0</v>
      </c>
      <c r="L207" s="109">
        <f ca="1">Res!L77</f>
        <v>0</v>
      </c>
      <c r="M207" s="109">
        <f ca="1">Res!M77</f>
        <v>0</v>
      </c>
      <c r="N207" s="109">
        <f ca="1">Res!N77</f>
        <v>0</v>
      </c>
      <c r="O207" s="111"/>
    </row>
    <row r="238" spans="2:15" ht="18.75" x14ac:dyDescent="0.3">
      <c r="B238" s="133" t="s">
        <v>111</v>
      </c>
    </row>
    <row r="239" spans="2:15" ht="15" customHeight="1" x14ac:dyDescent="0.25">
      <c r="B239" s="69" t="str">
        <f>Res!B80</f>
        <v>Setor</v>
      </c>
      <c r="C239" s="106" t="str">
        <f>Res!C80</f>
        <v>Janeiro</v>
      </c>
      <c r="D239" s="106" t="str">
        <f>Res!D80</f>
        <v>Fevereiro</v>
      </c>
      <c r="E239" s="106" t="str">
        <f>Res!E80</f>
        <v>Março</v>
      </c>
      <c r="F239" s="106" t="str">
        <f>Res!F80</f>
        <v>Abril</v>
      </c>
      <c r="G239" s="106" t="str">
        <f>Res!G80</f>
        <v>Maio</v>
      </c>
      <c r="H239" s="106" t="str">
        <f>Res!H80</f>
        <v>Junho</v>
      </c>
      <c r="I239" s="106" t="str">
        <f>Res!I80</f>
        <v>Julho</v>
      </c>
      <c r="J239" s="106" t="str">
        <f>Res!J80</f>
        <v>Agosto</v>
      </c>
      <c r="K239" s="106" t="str">
        <f>Res!K80</f>
        <v>Setembro</v>
      </c>
      <c r="L239" s="106" t="str">
        <f>Res!L80</f>
        <v>Outubro</v>
      </c>
      <c r="M239" s="106" t="str">
        <f>Res!M80</f>
        <v>Novembro</v>
      </c>
      <c r="N239" s="106" t="str">
        <f>Res!N80</f>
        <v>Dezembro</v>
      </c>
      <c r="O239" s="106" t="str">
        <f>Res!O80</f>
        <v>Total</v>
      </c>
    </row>
    <row r="240" spans="2:15" ht="15" customHeight="1" x14ac:dyDescent="0.25">
      <c r="B240" s="107" t="str">
        <f ca="1">Res!B81</f>
        <v>Administrativo</v>
      </c>
      <c r="C240" s="112">
        <f ca="1">Res!C81</f>
        <v>1</v>
      </c>
      <c r="D240" s="112">
        <f ca="1">Res!D81</f>
        <v>0</v>
      </c>
      <c r="E240" s="112">
        <f ca="1">Res!E81</f>
        <v>0</v>
      </c>
      <c r="F240" s="112">
        <f ca="1">Res!F81</f>
        <v>0</v>
      </c>
      <c r="G240" s="112">
        <f ca="1">Res!G81</f>
        <v>0</v>
      </c>
      <c r="H240" s="112">
        <f ca="1">Res!H81</f>
        <v>0</v>
      </c>
      <c r="I240" s="112">
        <f ca="1">Res!I81</f>
        <v>0</v>
      </c>
      <c r="J240" s="112">
        <f ca="1">Res!J81</f>
        <v>0</v>
      </c>
      <c r="K240" s="112">
        <f ca="1">Res!K81</f>
        <v>0</v>
      </c>
      <c r="L240" s="112">
        <f ca="1">Res!L81</f>
        <v>0</v>
      </c>
      <c r="M240" s="112">
        <f ca="1">Res!M81</f>
        <v>0</v>
      </c>
      <c r="N240" s="112">
        <f ca="1">Res!N81</f>
        <v>0</v>
      </c>
      <c r="O240" s="113">
        <f ca="1">Res!O81</f>
        <v>1</v>
      </c>
    </row>
    <row r="241" spans="2:15" ht="15" customHeight="1" x14ac:dyDescent="0.25">
      <c r="B241" s="107" t="str">
        <f ca="1">Res!B82</f>
        <v>Manutenção</v>
      </c>
      <c r="C241" s="112">
        <f ca="1">Res!C82</f>
        <v>0</v>
      </c>
      <c r="D241" s="112">
        <f ca="1">Res!D82</f>
        <v>0</v>
      </c>
      <c r="E241" s="112">
        <f ca="1">Res!E82</f>
        <v>0</v>
      </c>
      <c r="F241" s="112">
        <f ca="1">Res!F82</f>
        <v>0</v>
      </c>
      <c r="G241" s="112">
        <f ca="1">Res!G82</f>
        <v>0</v>
      </c>
      <c r="H241" s="112">
        <f ca="1">Res!H82</f>
        <v>0</v>
      </c>
      <c r="I241" s="112">
        <f ca="1">Res!I82</f>
        <v>0</v>
      </c>
      <c r="J241" s="112">
        <f ca="1">Res!J82</f>
        <v>0</v>
      </c>
      <c r="K241" s="112">
        <f ca="1">Res!K82</f>
        <v>0</v>
      </c>
      <c r="L241" s="112">
        <f ca="1">Res!L82</f>
        <v>0</v>
      </c>
      <c r="M241" s="112">
        <f ca="1">Res!M82</f>
        <v>0</v>
      </c>
      <c r="N241" s="112">
        <f ca="1">Res!N82</f>
        <v>0</v>
      </c>
      <c r="O241" s="113">
        <f ca="1">Res!O82</f>
        <v>0</v>
      </c>
    </row>
    <row r="242" spans="2:15" ht="15" customHeight="1" x14ac:dyDescent="0.25">
      <c r="B242" s="107" t="str">
        <f ca="1">Res!B83</f>
        <v>Suprimentos</v>
      </c>
      <c r="C242" s="112">
        <f ca="1">Res!C83</f>
        <v>0</v>
      </c>
      <c r="D242" s="112">
        <f ca="1">Res!D83</f>
        <v>0</v>
      </c>
      <c r="E242" s="112">
        <f ca="1">Res!E83</f>
        <v>0</v>
      </c>
      <c r="F242" s="112">
        <f ca="1">Res!F83</f>
        <v>0</v>
      </c>
      <c r="G242" s="112">
        <f ca="1">Res!G83</f>
        <v>0</v>
      </c>
      <c r="H242" s="112">
        <f ca="1">Res!H83</f>
        <v>0</v>
      </c>
      <c r="I242" s="112">
        <f ca="1">Res!I83</f>
        <v>0</v>
      </c>
      <c r="J242" s="112">
        <f ca="1">Res!J83</f>
        <v>0</v>
      </c>
      <c r="K242" s="112">
        <f ca="1">Res!K83</f>
        <v>0</v>
      </c>
      <c r="L242" s="112">
        <f ca="1">Res!L83</f>
        <v>0</v>
      </c>
      <c r="M242" s="112">
        <f ca="1">Res!M83</f>
        <v>0</v>
      </c>
      <c r="N242" s="112">
        <f ca="1">Res!N83</f>
        <v>0</v>
      </c>
      <c r="O242" s="113">
        <f ca="1">Res!O83</f>
        <v>0</v>
      </c>
    </row>
    <row r="243" spans="2:15" ht="15" customHeight="1" x14ac:dyDescent="0.25">
      <c r="B243" s="107" t="str">
        <f ca="1">Res!B84</f>
        <v>Operação</v>
      </c>
      <c r="C243" s="112">
        <f ca="1">Res!C84</f>
        <v>0</v>
      </c>
      <c r="D243" s="112">
        <f ca="1">Res!D84</f>
        <v>0</v>
      </c>
      <c r="E243" s="112">
        <f ca="1">Res!E84</f>
        <v>0</v>
      </c>
      <c r="F243" s="112">
        <f ca="1">Res!F84</f>
        <v>0</v>
      </c>
      <c r="G243" s="112">
        <f ca="1">Res!G84</f>
        <v>0</v>
      </c>
      <c r="H243" s="112">
        <f ca="1">Res!H84</f>
        <v>0</v>
      </c>
      <c r="I243" s="112">
        <f ca="1">Res!I84</f>
        <v>0</v>
      </c>
      <c r="J243" s="112">
        <f ca="1">Res!J84</f>
        <v>0</v>
      </c>
      <c r="K243" s="112">
        <f ca="1">Res!K84</f>
        <v>0</v>
      </c>
      <c r="L243" s="112">
        <f ca="1">Res!L84</f>
        <v>0</v>
      </c>
      <c r="M243" s="112">
        <f ca="1">Res!M84</f>
        <v>0</v>
      </c>
      <c r="N243" s="112">
        <f ca="1">Res!N84</f>
        <v>0</v>
      </c>
      <c r="O243" s="113">
        <f ca="1">Res!O84</f>
        <v>0</v>
      </c>
    </row>
    <row r="244" spans="2:15" ht="15" customHeight="1" x14ac:dyDescent="0.25">
      <c r="B244" s="107" t="str">
        <f ca="1">Res!B85</f>
        <v/>
      </c>
      <c r="C244" s="112" t="str">
        <f ca="1">Res!C85</f>
        <v/>
      </c>
      <c r="D244" s="112" t="str">
        <f ca="1">Res!D85</f>
        <v/>
      </c>
      <c r="E244" s="112" t="str">
        <f ca="1">Res!E85</f>
        <v/>
      </c>
      <c r="F244" s="112" t="str">
        <f ca="1">Res!F85</f>
        <v/>
      </c>
      <c r="G244" s="112" t="str">
        <f ca="1">Res!G85</f>
        <v/>
      </c>
      <c r="H244" s="112" t="str">
        <f ca="1">Res!H85</f>
        <v/>
      </c>
      <c r="I244" s="112" t="str">
        <f ca="1">Res!I85</f>
        <v/>
      </c>
      <c r="J244" s="112" t="str">
        <f ca="1">Res!J85</f>
        <v/>
      </c>
      <c r="K244" s="112" t="str">
        <f ca="1">Res!K85</f>
        <v/>
      </c>
      <c r="L244" s="112" t="str">
        <f ca="1">Res!L85</f>
        <v/>
      </c>
      <c r="M244" s="112" t="str">
        <f ca="1">Res!M85</f>
        <v/>
      </c>
      <c r="N244" s="112" t="str">
        <f ca="1">Res!N85</f>
        <v/>
      </c>
      <c r="O244" s="113" t="str">
        <f ca="1">Res!O85</f>
        <v/>
      </c>
    </row>
    <row r="245" spans="2:15" ht="15" customHeight="1" x14ac:dyDescent="0.25">
      <c r="B245" s="107" t="str">
        <f ca="1">Res!B86</f>
        <v/>
      </c>
      <c r="C245" s="112" t="str">
        <f ca="1">Res!C86</f>
        <v/>
      </c>
      <c r="D245" s="112" t="str">
        <f ca="1">Res!D86</f>
        <v/>
      </c>
      <c r="E245" s="112" t="str">
        <f ca="1">Res!E86</f>
        <v/>
      </c>
      <c r="F245" s="112" t="str">
        <f ca="1">Res!F86</f>
        <v/>
      </c>
      <c r="G245" s="112" t="str">
        <f ca="1">Res!G86</f>
        <v/>
      </c>
      <c r="H245" s="112" t="str">
        <f ca="1">Res!H86</f>
        <v/>
      </c>
      <c r="I245" s="112" t="str">
        <f ca="1">Res!I86</f>
        <v/>
      </c>
      <c r="J245" s="112" t="str">
        <f ca="1">Res!J86</f>
        <v/>
      </c>
      <c r="K245" s="112" t="str">
        <f ca="1">Res!K86</f>
        <v/>
      </c>
      <c r="L245" s="112" t="str">
        <f ca="1">Res!L86</f>
        <v/>
      </c>
      <c r="M245" s="112" t="str">
        <f ca="1">Res!M86</f>
        <v/>
      </c>
      <c r="N245" s="112" t="str">
        <f ca="1">Res!N86</f>
        <v/>
      </c>
      <c r="O245" s="113" t="str">
        <f ca="1">Res!O86</f>
        <v/>
      </c>
    </row>
    <row r="246" spans="2:15" ht="15" customHeight="1" x14ac:dyDescent="0.25">
      <c r="B246" s="107" t="str">
        <f ca="1">Res!B87</f>
        <v/>
      </c>
      <c r="C246" s="112" t="str">
        <f ca="1">Res!C87</f>
        <v/>
      </c>
      <c r="D246" s="112" t="str">
        <f ca="1">Res!D87</f>
        <v/>
      </c>
      <c r="E246" s="112" t="str">
        <f ca="1">Res!E87</f>
        <v/>
      </c>
      <c r="F246" s="112" t="str">
        <f ca="1">Res!F87</f>
        <v/>
      </c>
      <c r="G246" s="112" t="str">
        <f ca="1">Res!G87</f>
        <v/>
      </c>
      <c r="H246" s="112" t="str">
        <f ca="1">Res!H87</f>
        <v/>
      </c>
      <c r="I246" s="112" t="str">
        <f ca="1">Res!I87</f>
        <v/>
      </c>
      <c r="J246" s="112" t="str">
        <f ca="1">Res!J87</f>
        <v/>
      </c>
      <c r="K246" s="112" t="str">
        <f ca="1">Res!K87</f>
        <v/>
      </c>
      <c r="L246" s="112" t="str">
        <f ca="1">Res!L87</f>
        <v/>
      </c>
      <c r="M246" s="112" t="str">
        <f ca="1">Res!M87</f>
        <v/>
      </c>
      <c r="N246" s="112" t="str">
        <f ca="1">Res!N87</f>
        <v/>
      </c>
      <c r="O246" s="113" t="str">
        <f ca="1">Res!O87</f>
        <v/>
      </c>
    </row>
    <row r="247" spans="2:15" ht="15" customHeight="1" x14ac:dyDescent="0.25">
      <c r="B247" s="107" t="str">
        <f ca="1">Res!B88</f>
        <v/>
      </c>
      <c r="C247" s="112" t="str">
        <f ca="1">Res!C88</f>
        <v/>
      </c>
      <c r="D247" s="112" t="str">
        <f ca="1">Res!D88</f>
        <v/>
      </c>
      <c r="E247" s="112" t="str">
        <f ca="1">Res!E88</f>
        <v/>
      </c>
      <c r="F247" s="112" t="str">
        <f ca="1">Res!F88</f>
        <v/>
      </c>
      <c r="G247" s="112" t="str">
        <f ca="1">Res!G88</f>
        <v/>
      </c>
      <c r="H247" s="112" t="str">
        <f ca="1">Res!H88</f>
        <v/>
      </c>
      <c r="I247" s="112" t="str">
        <f ca="1">Res!I88</f>
        <v/>
      </c>
      <c r="J247" s="112" t="str">
        <f ca="1">Res!J88</f>
        <v/>
      </c>
      <c r="K247" s="112" t="str">
        <f ca="1">Res!K88</f>
        <v/>
      </c>
      <c r="L247" s="112" t="str">
        <f ca="1">Res!L88</f>
        <v/>
      </c>
      <c r="M247" s="112" t="str">
        <f ca="1">Res!M88</f>
        <v/>
      </c>
      <c r="N247" s="112" t="str">
        <f ca="1">Res!N88</f>
        <v/>
      </c>
      <c r="O247" s="113" t="str">
        <f ca="1">Res!O88</f>
        <v/>
      </c>
    </row>
    <row r="248" spans="2:15" ht="15" customHeight="1" x14ac:dyDescent="0.25">
      <c r="B248" s="107" t="str">
        <f ca="1">Res!B89</f>
        <v/>
      </c>
      <c r="C248" s="112" t="str">
        <f ca="1">Res!C89</f>
        <v/>
      </c>
      <c r="D248" s="112" t="str">
        <f ca="1">Res!D89</f>
        <v/>
      </c>
      <c r="E248" s="112" t="str">
        <f ca="1">Res!E89</f>
        <v/>
      </c>
      <c r="F248" s="112" t="str">
        <f ca="1">Res!F89</f>
        <v/>
      </c>
      <c r="G248" s="112" t="str">
        <f ca="1">Res!G89</f>
        <v/>
      </c>
      <c r="H248" s="112" t="str">
        <f ca="1">Res!H89</f>
        <v/>
      </c>
      <c r="I248" s="112" t="str">
        <f ca="1">Res!I89</f>
        <v/>
      </c>
      <c r="J248" s="112" t="str">
        <f ca="1">Res!J89</f>
        <v/>
      </c>
      <c r="K248" s="112" t="str">
        <f ca="1">Res!K89</f>
        <v/>
      </c>
      <c r="L248" s="112" t="str">
        <f ca="1">Res!L89</f>
        <v/>
      </c>
      <c r="M248" s="112" t="str">
        <f ca="1">Res!M89</f>
        <v/>
      </c>
      <c r="N248" s="112" t="str">
        <f ca="1">Res!N89</f>
        <v/>
      </c>
      <c r="O248" s="113" t="str">
        <f ca="1">Res!O89</f>
        <v/>
      </c>
    </row>
    <row r="249" spans="2:15" ht="15" customHeight="1" x14ac:dyDescent="0.25">
      <c r="B249" s="107" t="str">
        <f ca="1">Res!B90</f>
        <v/>
      </c>
      <c r="C249" s="112" t="str">
        <f ca="1">Res!C90</f>
        <v/>
      </c>
      <c r="D249" s="112" t="str">
        <f ca="1">Res!D90</f>
        <v/>
      </c>
      <c r="E249" s="112" t="str">
        <f ca="1">Res!E90</f>
        <v/>
      </c>
      <c r="F249" s="112" t="str">
        <f ca="1">Res!F90</f>
        <v/>
      </c>
      <c r="G249" s="112" t="str">
        <f ca="1">Res!G90</f>
        <v/>
      </c>
      <c r="H249" s="112" t="str">
        <f ca="1">Res!H90</f>
        <v/>
      </c>
      <c r="I249" s="112" t="str">
        <f ca="1">Res!I90</f>
        <v/>
      </c>
      <c r="J249" s="112" t="str">
        <f ca="1">Res!J90</f>
        <v/>
      </c>
      <c r="K249" s="112" t="str">
        <f ca="1">Res!K90</f>
        <v/>
      </c>
      <c r="L249" s="112" t="str">
        <f ca="1">Res!L90</f>
        <v/>
      </c>
      <c r="M249" s="112" t="str">
        <f ca="1">Res!M90</f>
        <v/>
      </c>
      <c r="N249" s="112" t="str">
        <f ca="1">Res!N90</f>
        <v/>
      </c>
      <c r="O249" s="113" t="str">
        <f ca="1">Res!O90</f>
        <v/>
      </c>
    </row>
    <row r="250" spans="2:15" ht="15" customHeight="1" x14ac:dyDescent="0.25">
      <c r="B250" s="110" t="str">
        <f>Res!B91</f>
        <v>Total</v>
      </c>
      <c r="C250" s="113">
        <f ca="1">Res!C91</f>
        <v>1</v>
      </c>
      <c r="D250" s="113">
        <f ca="1">Res!D91</f>
        <v>0</v>
      </c>
      <c r="E250" s="113">
        <f ca="1">Res!E91</f>
        <v>0</v>
      </c>
      <c r="F250" s="113">
        <f ca="1">Res!F91</f>
        <v>0</v>
      </c>
      <c r="G250" s="113">
        <f ca="1">Res!G91</f>
        <v>0</v>
      </c>
      <c r="H250" s="113">
        <f ca="1">Res!H91</f>
        <v>0</v>
      </c>
      <c r="I250" s="113">
        <f ca="1">Res!I91</f>
        <v>0</v>
      </c>
      <c r="J250" s="113">
        <f ca="1">Res!J91</f>
        <v>0</v>
      </c>
      <c r="K250" s="113">
        <f ca="1">Res!K91</f>
        <v>0</v>
      </c>
      <c r="L250" s="113">
        <f ca="1">Res!L91</f>
        <v>0</v>
      </c>
      <c r="M250" s="113">
        <f ca="1">Res!M91</f>
        <v>0</v>
      </c>
      <c r="N250" s="113">
        <f ca="1">Res!N91</f>
        <v>0</v>
      </c>
      <c r="O250" s="111"/>
    </row>
  </sheetData>
  <sheetProtection password="9004" sheet="1" objects="1" scenarios="1"/>
  <mergeCells count="7">
    <mergeCell ref="B19:O19"/>
    <mergeCell ref="B20:O20"/>
    <mergeCell ref="B18:O18"/>
    <mergeCell ref="B6:O14"/>
    <mergeCell ref="B15:O15"/>
    <mergeCell ref="B16:O16"/>
    <mergeCell ref="B17:O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100" orientation="landscape" r:id="rId1"/>
  <headerFooter differentFirst="1">
    <oddHeader>&amp;CRELATÓRIO DO CONTROLE DE FALHAS DE EQUIPAMENTOS</oddHeader>
    <oddFooter>&amp;LImpresso em &amp;D as &amp;T&amp;RPágina &amp;P de &amp;N páginas</oddFooter>
  </headerFooter>
  <rowBreaks count="2" manualBreakCount="2">
    <brk id="22" min="1" max="14" man="1"/>
    <brk id="65" min="1" max="1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"/>
  <sheetViews>
    <sheetView showGridLines="0" workbookViewId="0">
      <selection activeCell="H2" sqref="H2"/>
    </sheetView>
  </sheetViews>
  <sheetFormatPr defaultRowHeight="15" x14ac:dyDescent="0.25"/>
  <cols>
    <col min="1" max="1" width="2.7109375" style="7" customWidth="1"/>
    <col min="2" max="2" width="28.42578125" style="7" customWidth="1"/>
    <col min="3" max="3" width="2.7109375" style="7" customWidth="1"/>
    <col min="4" max="4" width="28.42578125" style="7" customWidth="1"/>
    <col min="5" max="5" width="2.7109375" style="7" customWidth="1"/>
    <col min="6" max="6" width="28.42578125" style="7" customWidth="1"/>
    <col min="7" max="7" width="2.7109375" style="7" customWidth="1"/>
    <col min="8" max="8" width="28.42578125" style="7" customWidth="1"/>
    <col min="9" max="9" width="2.7109375" style="7" customWidth="1"/>
    <col min="10" max="10" width="28.42578125" style="7" customWidth="1"/>
    <col min="11" max="11" width="2.7109375" style="7" customWidth="1"/>
    <col min="12" max="12" width="28.42578125" style="7" customWidth="1"/>
    <col min="13" max="13" width="9.140625" style="7"/>
    <col min="14" max="27" width="1.7109375" style="20" customWidth="1"/>
    <col min="28" max="16384" width="9.140625" style="7"/>
  </cols>
  <sheetData>
    <row r="1" spans="2:28" s="3" customFormat="1" ht="30" customHeight="1" x14ac:dyDescent="0.25"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2:28" s="4" customFormat="1" ht="24.95" customHeight="1" x14ac:dyDescent="0.25"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2:28" s="5" customFormat="1" ht="10.5" customHeight="1" x14ac:dyDescent="0.25"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2:28" ht="45" customHeight="1" x14ac:dyDescent="0.25">
      <c r="B4" s="6" t="s">
        <v>77</v>
      </c>
      <c r="D4" s="6" t="s">
        <v>78</v>
      </c>
      <c r="F4" s="6" t="s">
        <v>79</v>
      </c>
      <c r="H4" s="6" t="s">
        <v>80</v>
      </c>
      <c r="J4" s="6" t="s">
        <v>81</v>
      </c>
      <c r="L4" s="6" t="s">
        <v>82</v>
      </c>
    </row>
    <row r="5" spans="2:28" ht="26.25" x14ac:dyDescent="0.25">
      <c r="B5" s="8">
        <f>IFERROR(COUNTA(CadEqu!$F$7:$F$506)-COUNTIF(CadEqu!$F$7:$F$506,""),0)</f>
        <v>5</v>
      </c>
      <c r="D5" s="8">
        <f>IFERROR(B5-F5,0)</f>
        <v>5</v>
      </c>
      <c r="F5" s="8">
        <f>IFERROR(COUNTIF(CadEqu!$L$7:$L$506,"&gt;"&amp;0),0)</f>
        <v>0</v>
      </c>
      <c r="H5" s="9">
        <f ca="1">$AA$11</f>
        <v>0.26380345476354705</v>
      </c>
      <c r="J5" s="9">
        <f ca="1">$AA$12</f>
        <v>365.7360576563151</v>
      </c>
      <c r="L5" s="9">
        <f ca="1">$AA$13</f>
        <v>0.26380345476354705</v>
      </c>
    </row>
    <row r="7" spans="2:28" x14ac:dyDescent="0.25">
      <c r="N7" s="10">
        <f ca="1">COUNTIF(CadEqu!$I$7:$I$506,"&gt;"&amp;0.1)</f>
        <v>1</v>
      </c>
      <c r="O7" s="11">
        <f ca="1">(O8-O9)*$N$7</f>
        <v>30.99998842592322</v>
      </c>
      <c r="P7" s="11">
        <f t="shared" ref="P7:Z7" ca="1" si="0">(P8-P9)*$N$7</f>
        <v>27.99998842592322</v>
      </c>
      <c r="Q7" s="11">
        <f t="shared" ca="1" si="0"/>
        <v>30.99998842592322</v>
      </c>
      <c r="R7" s="11">
        <f t="shared" ca="1" si="0"/>
        <v>29.99998842592322</v>
      </c>
      <c r="S7" s="11">
        <f t="shared" ca="1" si="0"/>
        <v>30.99998842592322</v>
      </c>
      <c r="T7" s="11">
        <f t="shared" ca="1" si="0"/>
        <v>29.99998842592322</v>
      </c>
      <c r="U7" s="11">
        <f t="shared" ca="1" si="0"/>
        <v>30.99998842592322</v>
      </c>
      <c r="V7" s="11">
        <f t="shared" ca="1" si="0"/>
        <v>30.99998842592322</v>
      </c>
      <c r="W7" s="11">
        <f t="shared" ca="1" si="0"/>
        <v>29.99998842592322</v>
      </c>
      <c r="X7" s="11">
        <f t="shared" ca="1" si="0"/>
        <v>30.99998842592322</v>
      </c>
      <c r="Y7" s="11">
        <f t="shared" ca="1" si="0"/>
        <v>29.99998842592322</v>
      </c>
      <c r="Z7" s="11">
        <f t="shared" ca="1" si="0"/>
        <v>30.99998842592322</v>
      </c>
      <c r="AA7" s="11">
        <f ca="1">SUM(N7:Z7)</f>
        <v>365.99986111107864</v>
      </c>
      <c r="AB7" s="10"/>
    </row>
    <row r="8" spans="2:28" x14ac:dyDescent="0.25">
      <c r="N8" s="12">
        <v>0.99998842592592585</v>
      </c>
      <c r="O8" s="13">
        <f ca="1">EOMONTH(O9,0)+$N$8</f>
        <v>44592.999988425923</v>
      </c>
      <c r="P8" s="13">
        <f t="shared" ref="P8:Z8" ca="1" si="1">EOMONTH(P9,0)+$N$8</f>
        <v>44620.999988425923</v>
      </c>
      <c r="Q8" s="13">
        <f t="shared" ca="1" si="1"/>
        <v>44651.999988425923</v>
      </c>
      <c r="R8" s="13">
        <f t="shared" ca="1" si="1"/>
        <v>44681.999988425923</v>
      </c>
      <c r="S8" s="13">
        <f t="shared" ca="1" si="1"/>
        <v>44712.999988425923</v>
      </c>
      <c r="T8" s="13">
        <f t="shared" ca="1" si="1"/>
        <v>44742.999988425923</v>
      </c>
      <c r="U8" s="13">
        <f t="shared" ca="1" si="1"/>
        <v>44773.999988425923</v>
      </c>
      <c r="V8" s="13">
        <f t="shared" ca="1" si="1"/>
        <v>44804.999988425923</v>
      </c>
      <c r="W8" s="13">
        <f t="shared" ca="1" si="1"/>
        <v>44834.999988425923</v>
      </c>
      <c r="X8" s="13">
        <f t="shared" ca="1" si="1"/>
        <v>44865.999988425923</v>
      </c>
      <c r="Y8" s="13">
        <f t="shared" ca="1" si="1"/>
        <v>44895.999988425923</v>
      </c>
      <c r="Z8" s="13">
        <f t="shared" ca="1" si="1"/>
        <v>44926.999988425923</v>
      </c>
      <c r="AA8" s="10"/>
      <c r="AB8" s="10"/>
    </row>
    <row r="9" spans="2:28" x14ac:dyDescent="0.25">
      <c r="N9" s="12">
        <v>0</v>
      </c>
      <c r="O9" s="13">
        <f ca="1">DATE($N$10,1,1)+$N$9</f>
        <v>44562</v>
      </c>
      <c r="P9" s="13">
        <f ca="1">DATE($N$10,2,1)+$N$9</f>
        <v>44593</v>
      </c>
      <c r="Q9" s="13">
        <f ca="1">DATE($N$10,3,1)+$N$9</f>
        <v>44621</v>
      </c>
      <c r="R9" s="13">
        <f ca="1">DATE($N$10,4,1)+$N$9</f>
        <v>44652</v>
      </c>
      <c r="S9" s="13">
        <f ca="1">DATE($N$10,5,1)+$N$9</f>
        <v>44682</v>
      </c>
      <c r="T9" s="13">
        <f ca="1">DATE($N$10,6,1)+$N$9</f>
        <v>44713</v>
      </c>
      <c r="U9" s="13">
        <f ca="1">DATE($N$10,7,1)+$N$9</f>
        <v>44743</v>
      </c>
      <c r="V9" s="13">
        <f ca="1">DATE($N$10,8,1)+$N$9</f>
        <v>44774</v>
      </c>
      <c r="W9" s="13">
        <f ca="1">DATE($N$10,9,1)+$N$9</f>
        <v>44805</v>
      </c>
      <c r="X9" s="13">
        <f ca="1">DATE($N$10,10,1)+$N$9</f>
        <v>44835</v>
      </c>
      <c r="Y9" s="13">
        <f ca="1">DATE($N$10,11,1)+$N$9</f>
        <v>44866</v>
      </c>
      <c r="Z9" s="13">
        <f ca="1">DATE($N$10,12,1)+$N$9</f>
        <v>44896</v>
      </c>
      <c r="AA9" s="13"/>
      <c r="AB9" s="10"/>
    </row>
    <row r="10" spans="2:28" x14ac:dyDescent="0.25">
      <c r="N10" s="14">
        <f ca="1">IF(Res!$C$6="",YEAR(TODAY()),Res!$C$6)</f>
        <v>2022</v>
      </c>
      <c r="O10" s="10" t="s">
        <v>39</v>
      </c>
      <c r="P10" s="10" t="s">
        <v>40</v>
      </c>
      <c r="Q10" s="10" t="s">
        <v>41</v>
      </c>
      <c r="R10" s="10" t="s">
        <v>42</v>
      </c>
      <c r="S10" s="10" t="s">
        <v>43</v>
      </c>
      <c r="T10" s="10" t="s">
        <v>44</v>
      </c>
      <c r="U10" s="10" t="s">
        <v>45</v>
      </c>
      <c r="V10" s="10" t="s">
        <v>46</v>
      </c>
      <c r="W10" s="10" t="s">
        <v>47</v>
      </c>
      <c r="X10" s="10" t="s">
        <v>48</v>
      </c>
      <c r="Y10" s="10" t="s">
        <v>49</v>
      </c>
      <c r="Z10" s="10" t="s">
        <v>50</v>
      </c>
      <c r="AA10" s="10" t="s">
        <v>51</v>
      </c>
      <c r="AB10" s="10"/>
    </row>
    <row r="11" spans="2:28" x14ac:dyDescent="0.25">
      <c r="N11" s="10" t="s">
        <v>68</v>
      </c>
      <c r="O11" s="11">
        <f ca="1">IFERROR(SUMIFS(tbLancamentos[Tempo indisponível],tbLancamentos[Momento da falha],"&gt;="&amp;O$9,tbLancamentos[Momento da falha],"&lt;="&amp;O$8),0)</f>
        <v>0.26380345476354705</v>
      </c>
      <c r="P11" s="11">
        <f ca="1">IFERROR(SUMIFS(tbLancamentos[Tempo indisponível],tbLancamentos[Momento da falha],"&gt;="&amp;P$9,tbLancamentos[Momento da falha],"&lt;="&amp;P$8),0)</f>
        <v>0</v>
      </c>
      <c r="Q11" s="11">
        <f ca="1">IFERROR(SUMIFS(tbLancamentos[Tempo indisponível],tbLancamentos[Momento da falha],"&gt;="&amp;Q$9,tbLancamentos[Momento da falha],"&lt;="&amp;Q$8),0)</f>
        <v>0</v>
      </c>
      <c r="R11" s="11">
        <f ca="1">IFERROR(SUMIFS(tbLancamentos[Tempo indisponível],tbLancamentos[Momento da falha],"&gt;="&amp;R$9,tbLancamentos[Momento da falha],"&lt;="&amp;R$8),0)</f>
        <v>0</v>
      </c>
      <c r="S11" s="11">
        <f ca="1">IFERROR(SUMIFS(tbLancamentos[Tempo indisponível],tbLancamentos[Momento da falha],"&gt;="&amp;S$9,tbLancamentos[Momento da falha],"&lt;="&amp;S$8),0)</f>
        <v>0</v>
      </c>
      <c r="T11" s="11">
        <f ca="1">IFERROR(SUMIFS(tbLancamentos[Tempo indisponível],tbLancamentos[Momento da falha],"&gt;="&amp;T$9,tbLancamentos[Momento da falha],"&lt;="&amp;T$8),0)</f>
        <v>0</v>
      </c>
      <c r="U11" s="11">
        <f ca="1">IFERROR(SUMIFS(tbLancamentos[Tempo indisponível],tbLancamentos[Momento da falha],"&gt;="&amp;U$9,tbLancamentos[Momento da falha],"&lt;="&amp;U$8),0)</f>
        <v>0</v>
      </c>
      <c r="V11" s="11">
        <f ca="1">IFERROR(SUMIFS(tbLancamentos[Tempo indisponível],tbLancamentos[Momento da falha],"&gt;="&amp;V$9,tbLancamentos[Momento da falha],"&lt;="&amp;V$8),0)</f>
        <v>0</v>
      </c>
      <c r="W11" s="11">
        <f ca="1">IFERROR(SUMIFS(tbLancamentos[Tempo indisponível],tbLancamentos[Momento da falha],"&gt;="&amp;W$9,tbLancamentos[Momento da falha],"&lt;="&amp;W$8),0)</f>
        <v>0</v>
      </c>
      <c r="X11" s="11">
        <f ca="1">IFERROR(SUMIFS(tbLancamentos[Tempo indisponível],tbLancamentos[Momento da falha],"&gt;="&amp;X$9,tbLancamentos[Momento da falha],"&lt;="&amp;X$8),0)</f>
        <v>0</v>
      </c>
      <c r="Y11" s="11">
        <f ca="1">IFERROR(SUMIFS(tbLancamentos[Tempo indisponível],tbLancamentos[Momento da falha],"&gt;="&amp;Y$9,tbLancamentos[Momento da falha],"&lt;="&amp;Y$8),0)</f>
        <v>0</v>
      </c>
      <c r="Z11" s="11">
        <f ca="1">IFERROR(SUMIFS(tbLancamentos[Tempo indisponível],tbLancamentos[Momento da falha],"&gt;="&amp;Z$9,tbLancamentos[Momento da falha],"&lt;="&amp;Z$8),0)</f>
        <v>0</v>
      </c>
      <c r="AA11" s="11">
        <f ca="1">SUM(O11:Z11)</f>
        <v>0.26380345476354705</v>
      </c>
      <c r="AB11" s="10"/>
    </row>
    <row r="12" spans="2:28" x14ac:dyDescent="0.25">
      <c r="N12" s="10" t="s">
        <v>75</v>
      </c>
      <c r="O12" s="11">
        <f ca="1">IFERROR((O$7-O$11)/COUNTIFS(tbLancamentos[Momento da falha],"&gt;="&amp;O$9,tbLancamentos[Momento da falha],"&lt;="&amp;O$8),0)</f>
        <v>30.736184971159673</v>
      </c>
      <c r="P12" s="11">
        <f ca="1">IFERROR((P$7-P$11)/COUNTIFS(tbLancamentos[Momento da falha],"&gt;="&amp;P$9,tbLancamentos[Momento da falha],"&lt;="&amp;P$8),0)</f>
        <v>0</v>
      </c>
      <c r="Q12" s="11">
        <f ca="1">IFERROR((Q$7-Q$11)/COUNTIFS(tbLancamentos[Momento da falha],"&gt;="&amp;Q$9,tbLancamentos[Momento da falha],"&lt;="&amp;Q$8),0)</f>
        <v>0</v>
      </c>
      <c r="R12" s="11">
        <f ca="1">IFERROR((R$7-R$11)/COUNTIFS(tbLancamentos[Momento da falha],"&gt;="&amp;R$9,tbLancamentos[Momento da falha],"&lt;="&amp;R$8),0)</f>
        <v>0</v>
      </c>
      <c r="S12" s="11">
        <f ca="1">IFERROR((S$7-S$11)/COUNTIFS(tbLancamentos[Momento da falha],"&gt;="&amp;S$9,tbLancamentos[Momento da falha],"&lt;="&amp;S$8),0)</f>
        <v>0</v>
      </c>
      <c r="T12" s="11">
        <f ca="1">IFERROR((T$7-T$11)/COUNTIFS(tbLancamentos[Momento da falha],"&gt;="&amp;T$9,tbLancamentos[Momento da falha],"&lt;="&amp;T$8),0)</f>
        <v>0</v>
      </c>
      <c r="U12" s="11">
        <f ca="1">IFERROR((U$7-U$11)/COUNTIFS(tbLancamentos[Momento da falha],"&gt;="&amp;U$9,tbLancamentos[Momento da falha],"&lt;="&amp;U$8),0)</f>
        <v>0</v>
      </c>
      <c r="V12" s="11">
        <f ca="1">IFERROR((V$7-V$11)/COUNTIFS(tbLancamentos[Momento da falha],"&gt;="&amp;V$9,tbLancamentos[Momento da falha],"&lt;="&amp;V$8),0)</f>
        <v>0</v>
      </c>
      <c r="W12" s="11">
        <f ca="1">IFERROR((W$7-W$11)/COUNTIFS(tbLancamentos[Momento da falha],"&gt;="&amp;W$9,tbLancamentos[Momento da falha],"&lt;="&amp;W$8),0)</f>
        <v>0</v>
      </c>
      <c r="X12" s="11">
        <f ca="1">IFERROR((X$7-X$11)/COUNTIFS(tbLancamentos[Momento da falha],"&gt;="&amp;X$9,tbLancamentos[Momento da falha],"&lt;="&amp;X$8),0)</f>
        <v>0</v>
      </c>
      <c r="Y12" s="11">
        <f ca="1">IFERROR((Y$7-Y$11)/COUNTIFS(tbLancamentos[Momento da falha],"&gt;="&amp;Y$9,tbLancamentos[Momento da falha],"&lt;="&amp;Y$8),0)</f>
        <v>0</v>
      </c>
      <c r="Z12" s="11">
        <f ca="1">IFERROR((Z$7-Z$11)/COUNTIFS(tbLancamentos[Momento da falha],"&gt;="&amp;Z$9,tbLancamentos[Momento da falha],"&lt;="&amp;Z$8),0)</f>
        <v>0</v>
      </c>
      <c r="AA12" s="11">
        <f ca="1">IFERROR((AA$7-AA$11)/COUNTIFS(tbLancamentos[Momento da falha],"&gt;="&amp;O$9,tbLancamentos[Momento da falha],"&lt;="&amp;Z$8),0)</f>
        <v>365.7360576563151</v>
      </c>
      <c r="AB12" s="10"/>
    </row>
    <row r="13" spans="2:28" x14ac:dyDescent="0.25">
      <c r="N13" s="10" t="s">
        <v>76</v>
      </c>
      <c r="O13" s="11">
        <f ca="1">IFERROR(O$11/COUNTIFS(tbLancamentos[Momento da falha],"&gt;="&amp;O$9,tbLancamentos[Momento da falha],"&lt;="&amp;O$8),0)</f>
        <v>0.26380345476354705</v>
      </c>
      <c r="P13" s="11">
        <f ca="1">IFERROR(P$11/COUNTIFS(tbLancamentos[Momento da falha],"&gt;="&amp;P$9,tbLancamentos[Momento da falha],"&lt;="&amp;P$8),0)</f>
        <v>0</v>
      </c>
      <c r="Q13" s="11">
        <f ca="1">IFERROR(Q$11/COUNTIFS(tbLancamentos[Momento da falha],"&gt;="&amp;Q$9,tbLancamentos[Momento da falha],"&lt;="&amp;Q$8),0)</f>
        <v>0</v>
      </c>
      <c r="R13" s="11">
        <f ca="1">IFERROR(R$11/COUNTIFS(tbLancamentos[Momento da falha],"&gt;="&amp;R$9,tbLancamentos[Momento da falha],"&lt;="&amp;R$8),0)</f>
        <v>0</v>
      </c>
      <c r="S13" s="11">
        <f ca="1">IFERROR(S$11/COUNTIFS(tbLancamentos[Momento da falha],"&gt;="&amp;S$9,tbLancamentos[Momento da falha],"&lt;="&amp;S$8),0)</f>
        <v>0</v>
      </c>
      <c r="T13" s="11">
        <f ca="1">IFERROR(T$11/COUNTIFS(tbLancamentos[Momento da falha],"&gt;="&amp;T$9,tbLancamentos[Momento da falha],"&lt;="&amp;T$8),0)</f>
        <v>0</v>
      </c>
      <c r="U13" s="11">
        <f ca="1">IFERROR(U$11/COUNTIFS(tbLancamentos[Momento da falha],"&gt;="&amp;U$9,tbLancamentos[Momento da falha],"&lt;="&amp;U$8),0)</f>
        <v>0</v>
      </c>
      <c r="V13" s="11">
        <f ca="1">IFERROR(V$11/COUNTIFS(tbLancamentos[Momento da falha],"&gt;="&amp;V$9,tbLancamentos[Momento da falha],"&lt;="&amp;V$8),0)</f>
        <v>0</v>
      </c>
      <c r="W13" s="11">
        <f ca="1">IFERROR(W$11/COUNTIFS(tbLancamentos[Momento da falha],"&gt;="&amp;W$9,tbLancamentos[Momento da falha],"&lt;="&amp;W$8),0)</f>
        <v>0</v>
      </c>
      <c r="X13" s="11">
        <f ca="1">IFERROR(X$11/COUNTIFS(tbLancamentos[Momento da falha],"&gt;="&amp;X$9,tbLancamentos[Momento da falha],"&lt;="&amp;X$8),0)</f>
        <v>0</v>
      </c>
      <c r="Y13" s="11">
        <f ca="1">IFERROR(Y$11/COUNTIFS(tbLancamentos[Momento da falha],"&gt;="&amp;Y$9,tbLancamentos[Momento da falha],"&lt;="&amp;Y$8),0)</f>
        <v>0</v>
      </c>
      <c r="Z13" s="11">
        <f ca="1">IFERROR(Z$11/COUNTIFS(tbLancamentos[Momento da falha],"&gt;="&amp;Z$9,tbLancamentos[Momento da falha],"&lt;="&amp;Z$8),0)</f>
        <v>0</v>
      </c>
      <c r="AA13" s="11">
        <f ca="1">IFERROR(AA$11/COUNTIFS(tbLancamentos[Momento da falha],"&gt;="&amp;O$9,tbLancamentos[Momento da falha],"&lt;="&amp;Z$8),0)</f>
        <v>0.26380345476354705</v>
      </c>
      <c r="AB13" s="10"/>
    </row>
    <row r="14" spans="2:28" x14ac:dyDescent="0.25">
      <c r="N14" s="10" t="s">
        <v>69</v>
      </c>
      <c r="O14" s="11">
        <f ca="1">IFERROR(SUMIFS(tbLancamentos[Meta tempo reparo],tbLancamentos[Momento da falha],"&gt;="&amp;O$9,tbLancamentos[Momento da falha],"&lt;="&amp;O$8),0)</f>
        <v>0.20833333333333334</v>
      </c>
      <c r="P14" s="11">
        <f ca="1">IFERROR(SUMIFS(tbLancamentos[Meta tempo reparo],tbLancamentos[Momento da falha],"&gt;="&amp;P$9,tbLancamentos[Momento da falha],"&lt;="&amp;P$8),0)</f>
        <v>0</v>
      </c>
      <c r="Q14" s="11">
        <f ca="1">IFERROR(SUMIFS(tbLancamentos[Meta tempo reparo],tbLancamentos[Momento da falha],"&gt;="&amp;Q$9,tbLancamentos[Momento da falha],"&lt;="&amp;Q$8),0)</f>
        <v>0</v>
      </c>
      <c r="R14" s="11">
        <f ca="1">IFERROR(SUMIFS(tbLancamentos[Meta tempo reparo],tbLancamentos[Momento da falha],"&gt;="&amp;R$9,tbLancamentos[Momento da falha],"&lt;="&amp;R$8),0)</f>
        <v>0</v>
      </c>
      <c r="S14" s="11">
        <f ca="1">IFERROR(SUMIFS(tbLancamentos[Meta tempo reparo],tbLancamentos[Momento da falha],"&gt;="&amp;S$9,tbLancamentos[Momento da falha],"&lt;="&amp;S$8),0)</f>
        <v>0</v>
      </c>
      <c r="T14" s="11">
        <f ca="1">IFERROR(SUMIFS(tbLancamentos[Meta tempo reparo],tbLancamentos[Momento da falha],"&gt;="&amp;T$9,tbLancamentos[Momento da falha],"&lt;="&amp;T$8),0)</f>
        <v>0</v>
      </c>
      <c r="U14" s="11">
        <f ca="1">IFERROR(SUMIFS(tbLancamentos[Meta tempo reparo],tbLancamentos[Momento da falha],"&gt;="&amp;U$9,tbLancamentos[Momento da falha],"&lt;="&amp;U$8),0)</f>
        <v>0</v>
      </c>
      <c r="V14" s="11">
        <f ca="1">IFERROR(SUMIFS(tbLancamentos[Meta tempo reparo],tbLancamentos[Momento da falha],"&gt;="&amp;V$9,tbLancamentos[Momento da falha],"&lt;="&amp;V$8),0)</f>
        <v>0</v>
      </c>
      <c r="W14" s="11">
        <f ca="1">IFERROR(SUMIFS(tbLancamentos[Meta tempo reparo],tbLancamentos[Momento da falha],"&gt;="&amp;W$9,tbLancamentos[Momento da falha],"&lt;="&amp;W$8),0)</f>
        <v>0</v>
      </c>
      <c r="X14" s="11">
        <f ca="1">IFERROR(SUMIFS(tbLancamentos[Meta tempo reparo],tbLancamentos[Momento da falha],"&gt;="&amp;X$9,tbLancamentos[Momento da falha],"&lt;="&amp;X$8),0)</f>
        <v>0</v>
      </c>
      <c r="Y14" s="11">
        <f ca="1">IFERROR(SUMIFS(tbLancamentos[Meta tempo reparo],tbLancamentos[Momento da falha],"&gt;="&amp;Y$9,tbLancamentos[Momento da falha],"&lt;="&amp;Y$8),0)</f>
        <v>0</v>
      </c>
      <c r="Z14" s="11">
        <f ca="1">IFERROR(SUMIFS(tbLancamentos[Meta tempo reparo],tbLancamentos[Momento da falha],"&gt;="&amp;Z$9,tbLancamentos[Momento da falha],"&lt;="&amp;Z$8),0)</f>
        <v>0</v>
      </c>
      <c r="AA14" s="10"/>
      <c r="AB14" s="10"/>
    </row>
    <row r="15" spans="2:28" x14ac:dyDescent="0.25">
      <c r="N15" s="10" t="s">
        <v>70</v>
      </c>
      <c r="O15" s="11">
        <f ca="1">O11-O14</f>
        <v>5.5470121430213709E-2</v>
      </c>
      <c r="P15" s="11">
        <f t="shared" ref="P15:Z15" ca="1" si="2">P11-P14</f>
        <v>0</v>
      </c>
      <c r="Q15" s="11">
        <f t="shared" ca="1" si="2"/>
        <v>0</v>
      </c>
      <c r="R15" s="11">
        <f t="shared" ca="1" si="2"/>
        <v>0</v>
      </c>
      <c r="S15" s="11">
        <f t="shared" ca="1" si="2"/>
        <v>0</v>
      </c>
      <c r="T15" s="11">
        <f t="shared" ca="1" si="2"/>
        <v>0</v>
      </c>
      <c r="U15" s="11">
        <f t="shared" ca="1" si="2"/>
        <v>0</v>
      </c>
      <c r="V15" s="11">
        <f t="shared" ca="1" si="2"/>
        <v>0</v>
      </c>
      <c r="W15" s="11">
        <f t="shared" ca="1" si="2"/>
        <v>0</v>
      </c>
      <c r="X15" s="11">
        <f t="shared" ca="1" si="2"/>
        <v>0</v>
      </c>
      <c r="Y15" s="11">
        <f t="shared" ca="1" si="2"/>
        <v>0</v>
      </c>
      <c r="Z15" s="11">
        <f t="shared" ca="1" si="2"/>
        <v>0</v>
      </c>
      <c r="AA15" s="10"/>
      <c r="AB15" s="10"/>
    </row>
    <row r="16" spans="2:28" x14ac:dyDescent="0.25">
      <c r="N16" s="10" t="s">
        <v>84</v>
      </c>
      <c r="O16" s="10">
        <f ca="1">IFERROR(COUNTIFS(tbLancamentos[Momento da falha],"&gt;="&amp;O$9,tbLancamentos[Momento da falha],"&lt;="&amp;O$8),0)</f>
        <v>1</v>
      </c>
      <c r="P16" s="10">
        <f ca="1">IFERROR(COUNTIFS(tbLancamentos[Momento da falha],"&gt;="&amp;P$9,tbLancamentos[Momento da falha],"&lt;="&amp;P$8),0)</f>
        <v>0</v>
      </c>
      <c r="Q16" s="10">
        <f ca="1">IFERROR(COUNTIFS(tbLancamentos[Momento da falha],"&gt;="&amp;Q$9,tbLancamentos[Momento da falha],"&lt;="&amp;Q$8),0)</f>
        <v>0</v>
      </c>
      <c r="R16" s="10">
        <f ca="1">IFERROR(COUNTIFS(tbLancamentos[Momento da falha],"&gt;="&amp;R$9,tbLancamentos[Momento da falha],"&lt;="&amp;R$8),0)</f>
        <v>0</v>
      </c>
      <c r="S16" s="10">
        <f ca="1">IFERROR(COUNTIFS(tbLancamentos[Momento da falha],"&gt;="&amp;S$9,tbLancamentos[Momento da falha],"&lt;="&amp;S$8),0)</f>
        <v>0</v>
      </c>
      <c r="T16" s="10">
        <f ca="1">IFERROR(COUNTIFS(tbLancamentos[Momento da falha],"&gt;="&amp;T$9,tbLancamentos[Momento da falha],"&lt;="&amp;T$8),0)</f>
        <v>0</v>
      </c>
      <c r="U16" s="10">
        <f ca="1">IFERROR(COUNTIFS(tbLancamentos[Momento da falha],"&gt;="&amp;U$9,tbLancamentos[Momento da falha],"&lt;="&amp;U$8),0)</f>
        <v>0</v>
      </c>
      <c r="V16" s="10">
        <f ca="1">IFERROR(COUNTIFS(tbLancamentos[Momento da falha],"&gt;="&amp;V$9,tbLancamentos[Momento da falha],"&lt;="&amp;V$8),0)</f>
        <v>0</v>
      </c>
      <c r="W16" s="10">
        <f ca="1">IFERROR(COUNTIFS(tbLancamentos[Momento da falha],"&gt;="&amp;W$9,tbLancamentos[Momento da falha],"&lt;="&amp;W$8),0)</f>
        <v>0</v>
      </c>
      <c r="X16" s="10">
        <f ca="1">IFERROR(COUNTIFS(tbLancamentos[Momento da falha],"&gt;="&amp;X$9,tbLancamentos[Momento da falha],"&lt;="&amp;X$8),0)</f>
        <v>0</v>
      </c>
      <c r="Y16" s="10">
        <f ca="1">IFERROR(COUNTIFS(tbLancamentos[Momento da falha],"&gt;="&amp;Y$9,tbLancamentos[Momento da falha],"&lt;="&amp;Y$8),0)</f>
        <v>0</v>
      </c>
      <c r="Z16" s="10">
        <f ca="1">IFERROR(COUNTIFS(tbLancamentos[Momento da falha],"&gt;="&amp;Z$9,tbLancamentos[Momento da falha],"&lt;="&amp;Z$8),0)</f>
        <v>0</v>
      </c>
      <c r="AA16" s="10"/>
      <c r="AB16" s="10"/>
    </row>
    <row r="17" spans="14:28" x14ac:dyDescent="0.25"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4:28" x14ac:dyDescent="0.25"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4:28" x14ac:dyDescent="0.25">
      <c r="N19" s="10" t="str">
        <f>CadCat!C6</f>
        <v>Categoria</v>
      </c>
      <c r="O19" s="10" t="str">
        <f>CadCat!D6</f>
        <v>contagem falhas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4:28" x14ac:dyDescent="0.25">
      <c r="N20" s="10" t="str">
        <f>IF(CadCat!C7="","",CadCat!C7)</f>
        <v>Câmera</v>
      </c>
      <c r="O20" s="15">
        <f ca="1">CadCat!D7</f>
        <v>1.0001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4:28" x14ac:dyDescent="0.25">
      <c r="N21" s="10" t="str">
        <f>IF(CadCat!C8="","",CadCat!C8)</f>
        <v>Sensor</v>
      </c>
      <c r="O21" s="15">
        <f ca="1">CadCat!D8</f>
        <v>9.9989999999999996E-5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4:28" x14ac:dyDescent="0.25">
      <c r="N22" s="10" t="str">
        <f>IF(CadCat!C9="","",CadCat!C9)</f>
        <v>Central de alarme</v>
      </c>
      <c r="O22" s="15">
        <f ca="1">CadCat!D9</f>
        <v>9.9980000000000002E-5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4:28" x14ac:dyDescent="0.25">
      <c r="N23" s="10" t="str">
        <f>IF(CadCat!C10="","",CadCat!C10)</f>
        <v>Servidor</v>
      </c>
      <c r="O23" s="15">
        <f ca="1">CadCat!D10</f>
        <v>9.9969999999999993E-5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4:28" x14ac:dyDescent="0.25">
      <c r="N24" s="10" t="str">
        <f>IF(CadCat!C11="","",CadCat!C11)</f>
        <v>DVR</v>
      </c>
      <c r="O24" s="15">
        <f ca="1">CadCat!D11</f>
        <v>9.9959999999999998E-5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4:28" x14ac:dyDescent="0.25">
      <c r="N25" s="10" t="str">
        <f>IF(CadCat!C12="","",CadCat!C12)</f>
        <v/>
      </c>
      <c r="O25" s="15" t="str">
        <f>CadCat!D12</f>
        <v/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4:28" x14ac:dyDescent="0.25">
      <c r="N26" s="10" t="str">
        <f>IF(CadCat!C13="","",CadCat!C13)</f>
        <v/>
      </c>
      <c r="O26" s="15" t="str">
        <f>CadCat!D13</f>
        <v/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4:28" x14ac:dyDescent="0.25">
      <c r="N27" s="10" t="str">
        <f>IF(CadCat!C14="","",CadCat!C14)</f>
        <v/>
      </c>
      <c r="O27" s="15" t="str">
        <f>CadCat!D14</f>
        <v/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4:28" x14ac:dyDescent="0.25">
      <c r="N28" s="10" t="str">
        <f>IF(CadCat!C15="","",CadCat!C15)</f>
        <v/>
      </c>
      <c r="O28" s="15" t="str">
        <f>CadCat!D15</f>
        <v/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4:28" x14ac:dyDescent="0.25">
      <c r="N29" s="10" t="str">
        <f>IF(CadCat!C16="","",CadCat!C16)</f>
        <v/>
      </c>
      <c r="O29" s="15" t="str">
        <f>CadCat!D16</f>
        <v/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4:28" x14ac:dyDescent="0.25"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pageSetUpPr fitToPage="1"/>
  </sheetPr>
  <dimension ref="A1:I30"/>
  <sheetViews>
    <sheetView showGridLines="0" zoomScaleNormal="100" workbookViewId="0">
      <selection sqref="A1:XFD1048576"/>
    </sheetView>
  </sheetViews>
  <sheetFormatPr defaultRowHeight="15" x14ac:dyDescent="0.25"/>
  <cols>
    <col min="1" max="1" width="2.7109375" style="1" customWidth="1"/>
    <col min="2" max="2" width="85.5703125" style="39" customWidth="1"/>
    <col min="3" max="3" width="3.5703125" style="39" customWidth="1"/>
    <col min="4" max="4" width="85.5703125" style="39" customWidth="1"/>
    <col min="5" max="6" width="9.140625" style="39"/>
    <col min="7" max="16384" width="9.140625" style="47"/>
  </cols>
  <sheetData>
    <row r="1" spans="1:4" s="3" customFormat="1" ht="30" customHeight="1" x14ac:dyDescent="0.25"/>
    <row r="2" spans="1:4" s="4" customFormat="1" ht="24.95" customHeight="1" x14ac:dyDescent="0.25"/>
    <row r="3" spans="1:4" s="5" customFormat="1" ht="20.100000000000001" customHeight="1" x14ac:dyDescent="0.25"/>
    <row r="4" spans="1:4" s="39" customFormat="1" x14ac:dyDescent="0.25">
      <c r="A4" s="1"/>
    </row>
    <row r="5" spans="1:4" s="39" customFormat="1" ht="18.75" x14ac:dyDescent="0.25">
      <c r="A5" s="1"/>
      <c r="B5" s="40" t="s">
        <v>1</v>
      </c>
      <c r="C5" s="41"/>
      <c r="D5" s="40" t="s">
        <v>2</v>
      </c>
    </row>
    <row r="6" spans="1:4" s="39" customFormat="1" ht="66" customHeight="1" x14ac:dyDescent="0.25">
      <c r="A6" s="1"/>
      <c r="B6" s="42" t="s">
        <v>3</v>
      </c>
      <c r="C6" s="41"/>
      <c r="D6" s="42" t="s">
        <v>4</v>
      </c>
    </row>
    <row r="7" spans="1:4" s="39" customFormat="1" ht="9.9499999999999993" customHeight="1" x14ac:dyDescent="0.25">
      <c r="A7" s="1"/>
      <c r="B7" s="43"/>
      <c r="C7" s="41"/>
      <c r="D7" s="43"/>
    </row>
    <row r="8" spans="1:4" s="39" customFormat="1" ht="18.75" x14ac:dyDescent="0.25">
      <c r="A8" s="1"/>
      <c r="B8" s="40" t="s">
        <v>5</v>
      </c>
      <c r="C8" s="41"/>
      <c r="D8" s="40" t="s">
        <v>6</v>
      </c>
    </row>
    <row r="9" spans="1:4" s="39" customFormat="1" ht="66" customHeight="1" x14ac:dyDescent="0.25">
      <c r="A9" s="1"/>
      <c r="B9" s="42" t="s">
        <v>3</v>
      </c>
      <c r="C9" s="41"/>
      <c r="D9" s="42" t="s">
        <v>7</v>
      </c>
    </row>
    <row r="10" spans="1:4" s="39" customFormat="1" ht="9.9499999999999993" customHeight="1" x14ac:dyDescent="0.25">
      <c r="A10" s="1"/>
      <c r="B10" s="43"/>
      <c r="C10" s="41"/>
      <c r="D10" s="43"/>
    </row>
    <row r="11" spans="1:4" s="39" customFormat="1" ht="18.75" x14ac:dyDescent="0.25">
      <c r="A11" s="1"/>
      <c r="B11" s="40" t="s">
        <v>8</v>
      </c>
      <c r="C11" s="41"/>
      <c r="D11" s="40" t="s">
        <v>9</v>
      </c>
    </row>
    <row r="12" spans="1:4" s="39" customFormat="1" ht="66" customHeight="1" x14ac:dyDescent="0.25">
      <c r="A12" s="1"/>
      <c r="B12" s="42" t="s">
        <v>10</v>
      </c>
      <c r="C12" s="41"/>
      <c r="D12" s="44" t="s">
        <v>11</v>
      </c>
    </row>
    <row r="13" spans="1:4" s="39" customFormat="1" ht="9.9499999999999993" customHeight="1" x14ac:dyDescent="0.25">
      <c r="A13" s="1"/>
      <c r="B13" s="43"/>
      <c r="C13" s="41"/>
      <c r="D13" s="45"/>
    </row>
    <row r="14" spans="1:4" s="39" customFormat="1" ht="18.75" x14ac:dyDescent="0.25">
      <c r="A14" s="1"/>
      <c r="B14" s="40" t="s">
        <v>12</v>
      </c>
      <c r="C14" s="41"/>
      <c r="D14" s="40" t="s">
        <v>13</v>
      </c>
    </row>
    <row r="15" spans="1:4" s="39" customFormat="1" ht="66" customHeight="1" x14ac:dyDescent="0.25">
      <c r="A15" s="1"/>
      <c r="B15" s="42" t="s">
        <v>14</v>
      </c>
      <c r="C15" s="41"/>
      <c r="D15" s="42" t="s">
        <v>15</v>
      </c>
    </row>
    <row r="16" spans="1:4" s="39" customFormat="1" x14ac:dyDescent="0.25">
      <c r="A16" s="1"/>
    </row>
    <row r="17" spans="1:9" s="39" customFormat="1" x14ac:dyDescent="0.25">
      <c r="A17" s="1"/>
    </row>
    <row r="18" spans="1:9" s="39" customFormat="1" x14ac:dyDescent="0.25">
      <c r="A18" s="1"/>
    </row>
    <row r="19" spans="1:9" s="39" customFormat="1" x14ac:dyDescent="0.25">
      <c r="A19" s="1"/>
    </row>
    <row r="20" spans="1:9" s="39" customFormat="1" x14ac:dyDescent="0.25">
      <c r="A20" s="1"/>
    </row>
    <row r="21" spans="1:9" s="39" customFormat="1" x14ac:dyDescent="0.25">
      <c r="A21" s="1"/>
    </row>
    <row r="22" spans="1:9" s="39" customFormat="1" x14ac:dyDescent="0.25">
      <c r="A22" s="1"/>
    </row>
    <row r="23" spans="1:9" s="39" customFormat="1" x14ac:dyDescent="0.25">
      <c r="A23" s="1"/>
    </row>
    <row r="24" spans="1:9" s="39" customFormat="1" x14ac:dyDescent="0.25">
      <c r="A24" s="1"/>
    </row>
    <row r="25" spans="1:9" s="39" customFormat="1" x14ac:dyDescent="0.25">
      <c r="A25" s="1"/>
    </row>
    <row r="26" spans="1:9" s="39" customFormat="1" x14ac:dyDescent="0.25">
      <c r="A26" s="1"/>
    </row>
    <row r="27" spans="1:9" s="39" customFormat="1" x14ac:dyDescent="0.25">
      <c r="A27" s="1"/>
      <c r="B27" s="39" t="str">
        <f t="shared" ref="B27:B28" si="0">IF(D27="","",C27&amp;". "&amp;D27)</f>
        <v/>
      </c>
      <c r="I27" s="46"/>
    </row>
    <row r="28" spans="1:9" s="39" customFormat="1" x14ac:dyDescent="0.25">
      <c r="A28" s="1"/>
      <c r="B28" s="39" t="str">
        <f t="shared" si="0"/>
        <v/>
      </c>
    </row>
    <row r="29" spans="1:9" s="39" customFormat="1" x14ac:dyDescent="0.25">
      <c r="A29" s="1"/>
    </row>
    <row r="30" spans="1:9" s="39" customFormat="1" x14ac:dyDescent="0.25">
      <c r="A30" s="1"/>
    </row>
  </sheetData>
  <sheetProtection password="9004" sheet="1" objects="1" scenarios="1" formatColumns="0" formatRows="0" selectLockedCells="1" autoFilter="0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zoomScaleNormal="100" workbookViewId="0">
      <selection sqref="A1:XFD1048576"/>
    </sheetView>
  </sheetViews>
  <sheetFormatPr defaultColWidth="0" defaultRowHeight="15" customHeight="1" zeroHeight="1" x14ac:dyDescent="0.25"/>
  <cols>
    <col min="1" max="1" width="2.7109375" style="1" customWidth="1"/>
    <col min="2" max="2" width="8.7109375" style="59" customWidth="1"/>
    <col min="3" max="3" width="71.140625" style="59" customWidth="1"/>
    <col min="4" max="4" width="17.140625" style="59" customWidth="1"/>
    <col min="5" max="5" width="11.28515625" style="59" customWidth="1"/>
    <col min="6" max="6" width="6.140625" style="59" customWidth="1"/>
    <col min="7" max="8" width="8.85546875" style="59" customWidth="1"/>
    <col min="9" max="9" width="17.5703125" style="59" customWidth="1"/>
    <col min="10" max="10" width="14.7109375" style="59" customWidth="1"/>
    <col min="11" max="11" width="8.42578125" style="59" customWidth="1"/>
    <col min="12" max="12" width="2.28515625" style="59" customWidth="1"/>
    <col min="13" max="17" width="8.85546875" style="59" customWidth="1"/>
    <col min="18" max="18" width="22.28515625" style="59" customWidth="1"/>
    <col min="19" max="30" width="8.85546875" style="59" customWidth="1"/>
    <col min="31" max="31" width="0" style="59" hidden="1" customWidth="1"/>
    <col min="32" max="16384" width="8.85546875" style="59" hidden="1"/>
  </cols>
  <sheetData>
    <row r="1" spans="1:30" s="3" customFormat="1" ht="30" customHeight="1" x14ac:dyDescent="0.25"/>
    <row r="2" spans="1:30" s="4" customFormat="1" ht="24.95" customHeight="1" x14ac:dyDescent="0.25"/>
    <row r="3" spans="1:30" s="5" customFormat="1" ht="20.100000000000001" customHeight="1" x14ac:dyDescent="0.25"/>
    <row r="4" spans="1:30" s="52" customFormat="1" ht="24" customHeight="1" x14ac:dyDescent="0.35">
      <c r="A4" s="21"/>
      <c r="B4" s="48"/>
      <c r="C4" s="49"/>
      <c r="D4" s="50"/>
      <c r="E4" s="50"/>
      <c r="F4" s="50"/>
      <c r="G4" s="50"/>
      <c r="H4" s="50"/>
      <c r="I4" s="50"/>
      <c r="J4" s="51"/>
      <c r="K4" s="51"/>
      <c r="L4" s="51"/>
      <c r="M4" s="51"/>
      <c r="N4" s="51"/>
      <c r="O4" s="51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1:30" s="52" customFormat="1" ht="24" customHeight="1" x14ac:dyDescent="0.25">
      <c r="A5" s="21"/>
      <c r="B5" s="53">
        <v>1</v>
      </c>
      <c r="C5" s="54" t="s">
        <v>114</v>
      </c>
      <c r="D5" s="55" t="s">
        <v>112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1:30" ht="24" customHeight="1" x14ac:dyDescent="0.25">
      <c r="A6" s="22"/>
      <c r="B6" s="57"/>
      <c r="C6" s="4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30" ht="24" customHeight="1" x14ac:dyDescent="0.25">
      <c r="B7" s="53">
        <v>2</v>
      </c>
      <c r="C7" s="54" t="s">
        <v>115</v>
      </c>
      <c r="D7" s="55" t="s">
        <v>112</v>
      </c>
    </row>
    <row r="8" spans="1:30" ht="24" customHeight="1" x14ac:dyDescent="0.3">
      <c r="B8" s="57"/>
      <c r="C8" s="60"/>
      <c r="D8" s="61"/>
      <c r="E8" s="61"/>
      <c r="F8" s="61"/>
      <c r="G8" s="61"/>
      <c r="H8" s="61"/>
      <c r="I8" s="61"/>
      <c r="J8" s="61"/>
    </row>
    <row r="9" spans="1:30" ht="24" customHeight="1" x14ac:dyDescent="0.25">
      <c r="B9" s="53">
        <v>3</v>
      </c>
      <c r="C9" s="54" t="s">
        <v>116</v>
      </c>
      <c r="D9" s="55" t="s">
        <v>112</v>
      </c>
      <c r="J9" s="62"/>
      <c r="K9" s="63"/>
      <c r="L9" s="63"/>
      <c r="M9" s="63"/>
      <c r="N9" s="63"/>
    </row>
    <row r="10" spans="1:30" ht="24" customHeight="1" x14ac:dyDescent="0.3">
      <c r="B10" s="57"/>
      <c r="C10" s="60"/>
    </row>
    <row r="11" spans="1:30" ht="24" customHeight="1" x14ac:dyDescent="0.25">
      <c r="B11" s="53">
        <v>4</v>
      </c>
      <c r="C11" s="54" t="s">
        <v>117</v>
      </c>
      <c r="D11" s="55" t="s">
        <v>112</v>
      </c>
    </row>
    <row r="12" spans="1:30" ht="24" customHeight="1" x14ac:dyDescent="0.3">
      <c r="B12" s="57"/>
      <c r="C12" s="60"/>
    </row>
    <row r="13" spans="1:30" ht="24" customHeight="1" x14ac:dyDescent="0.25">
      <c r="B13" s="53">
        <v>5</v>
      </c>
      <c r="C13" s="54" t="s">
        <v>118</v>
      </c>
      <c r="D13" s="55" t="s">
        <v>112</v>
      </c>
    </row>
    <row r="14" spans="1:30" x14ac:dyDescent="0.25"/>
    <row r="15" spans="1:30" x14ac:dyDescent="0.25"/>
    <row r="16" spans="1:30" ht="21" x14ac:dyDescent="0.25">
      <c r="J16" s="64"/>
    </row>
    <row r="17" spans="10:10" x14ac:dyDescent="0.25">
      <c r="J17" s="62"/>
    </row>
    <row r="18" spans="10:10" x14ac:dyDescent="0.25"/>
    <row r="19" spans="10:10" x14ac:dyDescent="0.25"/>
    <row r="20" spans="10:10" ht="21" x14ac:dyDescent="0.25">
      <c r="J20" s="64"/>
    </row>
    <row r="21" spans="10:10" x14ac:dyDescent="0.25">
      <c r="J21" s="62"/>
    </row>
    <row r="22" spans="10:10" x14ac:dyDescent="0.25"/>
    <row r="23" spans="10:10" x14ac:dyDescent="0.25"/>
    <row r="24" spans="10:10" ht="21" x14ac:dyDescent="0.25">
      <c r="J24" s="65"/>
    </row>
    <row r="25" spans="10:10" x14ac:dyDescent="0.25">
      <c r="J25" s="62"/>
    </row>
    <row r="26" spans="10:10" x14ac:dyDescent="0.25"/>
    <row r="27" spans="10:10" x14ac:dyDescent="0.25"/>
    <row r="28" spans="10:10" x14ac:dyDescent="0.25"/>
    <row r="29" spans="10:10" x14ac:dyDescent="0.25"/>
    <row r="30" spans="10:10" x14ac:dyDescent="0.25"/>
    <row r="31" spans="10:10" x14ac:dyDescent="0.25"/>
    <row r="32" spans="10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0:10" x14ac:dyDescent="0.25"/>
    <row r="50" spans="10:10" x14ac:dyDescent="0.25"/>
    <row r="51" spans="10:10" x14ac:dyDescent="0.25"/>
    <row r="52" spans="10:10" x14ac:dyDescent="0.25"/>
    <row r="53" spans="10:10" x14ac:dyDescent="0.25">
      <c r="J53" s="66"/>
    </row>
    <row r="54" spans="10:10" x14ac:dyDescent="0.25"/>
    <row r="55" spans="10:10" x14ac:dyDescent="0.25"/>
    <row r="56" spans="10:10" x14ac:dyDescent="0.25"/>
    <row r="57" spans="10:10" x14ac:dyDescent="0.25"/>
    <row r="58" spans="10:10" x14ac:dyDescent="0.25"/>
    <row r="59" spans="10:10" x14ac:dyDescent="0.25"/>
    <row r="60" spans="10:10" x14ac:dyDescent="0.25"/>
    <row r="61" spans="10:10" x14ac:dyDescent="0.25"/>
    <row r="62" spans="10:10" x14ac:dyDescent="0.25"/>
    <row r="63" spans="10:10" x14ac:dyDescent="0.25"/>
  </sheetData>
  <sheetProtection password="9004" sheet="1" objects="1" scenarios="1" formatColumns="0" formatRows="0" selectLockedCells="1" autoFilter="0"/>
  <hyperlinks>
    <hyperlink ref="D24:J24" r:id="rId1" display="Planilha de Avaliação de Desempenho por Competências"/>
    <hyperlink ref="D9" r:id="rId2"/>
    <hyperlink ref="D7" r:id="rId3"/>
    <hyperlink ref="D11" r:id="rId4"/>
    <hyperlink ref="D13" r:id="rId5"/>
    <hyperlink ref="D5" r:id="rId6"/>
  </hyperlinks>
  <pageMargins left="0.75" right="0.75" top="1" bottom="1" header="0.5" footer="0.5"/>
  <pageSetup paperSize="9" orientation="portrait" horizontalDpi="4294967292" verticalDpi="4294967292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showGridLines="0" zoomScaleNormal="100" zoomScaleSheetLayoutView="80" workbookViewId="0">
      <selection sqref="A1:XFD1048576"/>
    </sheetView>
  </sheetViews>
  <sheetFormatPr defaultColWidth="9.140625" defaultRowHeight="15" customHeight="1" zeroHeight="1" x14ac:dyDescent="0.25"/>
  <cols>
    <col min="1" max="1" width="2.7109375" style="1" customWidth="1"/>
    <col min="2" max="3" width="10.85546875" style="59" customWidth="1"/>
    <col min="4" max="4" width="10.7109375" style="59" customWidth="1"/>
    <col min="5" max="16" width="10.85546875" style="59" customWidth="1"/>
    <col min="17" max="18" width="9.140625" style="59" customWidth="1"/>
    <col min="19" max="16384" width="9.140625" style="59"/>
  </cols>
  <sheetData>
    <row r="1" spans="1:8" s="3" customFormat="1" ht="30" customHeight="1" x14ac:dyDescent="0.25"/>
    <row r="2" spans="1:8" s="4" customFormat="1" ht="24.95" customHeight="1" x14ac:dyDescent="0.25"/>
    <row r="3" spans="1:8" s="5" customFormat="1" ht="20.100000000000001" customHeight="1" x14ac:dyDescent="0.25"/>
    <row r="4" spans="1:8" s="50" customFormat="1" ht="23.25" x14ac:dyDescent="0.35">
      <c r="B4" s="67" t="s">
        <v>113</v>
      </c>
    </row>
    <row r="5" spans="1:8" s="50" customFormat="1" x14ac:dyDescent="0.25">
      <c r="A5" s="21"/>
    </row>
    <row r="6" spans="1:8" s="59" customFormat="1" ht="35.25" customHeight="1" x14ac:dyDescent="0.25">
      <c r="A6" s="22"/>
      <c r="H6" s="7"/>
    </row>
    <row r="7" spans="1:8" s="59" customFormat="1" ht="35.25" customHeight="1" x14ac:dyDescent="0.25">
      <c r="A7" s="1"/>
    </row>
    <row r="8" spans="1:8" s="59" customFormat="1" ht="30" customHeight="1" x14ac:dyDescent="0.25">
      <c r="A8" s="1"/>
    </row>
    <row r="9" spans="1:8" s="59" customFormat="1" ht="30" customHeight="1" x14ac:dyDescent="0.25">
      <c r="A9" s="1"/>
    </row>
    <row r="10" spans="1:8" s="59" customFormat="1" ht="30" customHeight="1" x14ac:dyDescent="0.25">
      <c r="A10" s="1"/>
    </row>
    <row r="11" spans="1:8" s="59" customFormat="1" ht="30" customHeight="1" x14ac:dyDescent="0.25">
      <c r="A11" s="1"/>
    </row>
    <row r="12" spans="1:8" s="59" customFormat="1" ht="30" customHeight="1" x14ac:dyDescent="0.25">
      <c r="A12" s="1"/>
      <c r="G12" s="7"/>
    </row>
    <row r="13" spans="1:8" s="59" customFormat="1" ht="30" customHeight="1" x14ac:dyDescent="0.25">
      <c r="A13" s="1"/>
    </row>
    <row r="14" spans="1:8" s="59" customFormat="1" ht="30" customHeight="1" x14ac:dyDescent="0.25">
      <c r="A14" s="1"/>
    </row>
    <row r="15" spans="1:8" s="59" customFormat="1" ht="30" customHeight="1" x14ac:dyDescent="0.25">
      <c r="A15" s="1"/>
    </row>
    <row r="16" spans="1:8" s="59" customFormat="1" ht="30" customHeight="1" x14ac:dyDescent="0.25">
      <c r="A16" s="1"/>
    </row>
    <row r="17" spans="1:1" s="59" customFormat="1" ht="30" customHeight="1" x14ac:dyDescent="0.25">
      <c r="A17" s="1"/>
    </row>
    <row r="18" spans="1:1" s="59" customFormat="1" ht="30" customHeight="1" x14ac:dyDescent="0.25">
      <c r="A18" s="1"/>
    </row>
    <row r="19" spans="1:1" s="59" customFormat="1" ht="30" customHeight="1" x14ac:dyDescent="0.25">
      <c r="A19" s="1"/>
    </row>
    <row r="20" spans="1:1" s="59" customFormat="1" ht="30" customHeight="1" x14ac:dyDescent="0.25">
      <c r="A20" s="1"/>
    </row>
    <row r="21" spans="1:1" s="59" customFormat="1" ht="30" customHeight="1" x14ac:dyDescent="0.25">
      <c r="A21" s="1"/>
    </row>
    <row r="22" spans="1:1" s="59" customFormat="1" ht="30" customHeight="1" x14ac:dyDescent="0.25">
      <c r="A22" s="1"/>
    </row>
    <row r="23" spans="1:1" s="59" customFormat="1" ht="30" customHeight="1" x14ac:dyDescent="0.25">
      <c r="A23" s="1"/>
    </row>
    <row r="24" spans="1:1" s="59" customFormat="1" ht="30" customHeight="1" x14ac:dyDescent="0.25">
      <c r="A24" s="1"/>
    </row>
    <row r="25" spans="1:1" s="59" customFormat="1" ht="30" customHeight="1" x14ac:dyDescent="0.25">
      <c r="A25" s="1"/>
    </row>
    <row r="26" spans="1:1" s="59" customFormat="1" ht="30" customHeight="1" x14ac:dyDescent="0.25">
      <c r="A26" s="1"/>
    </row>
    <row r="27" spans="1:1" s="59" customFormat="1" ht="30" customHeight="1" x14ac:dyDescent="0.25">
      <c r="A27" s="1"/>
    </row>
    <row r="28" spans="1:1" s="59" customFormat="1" ht="30" customHeight="1" x14ac:dyDescent="0.25">
      <c r="A28" s="1"/>
    </row>
    <row r="29" spans="1:1" s="59" customFormat="1" ht="30" customHeight="1" x14ac:dyDescent="0.25">
      <c r="A29" s="1"/>
    </row>
    <row r="30" spans="1:1" s="59" customFormat="1" ht="30" customHeight="1" x14ac:dyDescent="0.25">
      <c r="A30" s="1"/>
    </row>
    <row r="31" spans="1:1" s="59" customFormat="1" ht="30" customHeight="1" x14ac:dyDescent="0.25">
      <c r="A31" s="1"/>
    </row>
    <row r="32" spans="1:1" s="59" customFormat="1" ht="30" customHeight="1" x14ac:dyDescent="0.25">
      <c r="A32" s="1"/>
    </row>
    <row r="33" spans="1:1" s="59" customFormat="1" ht="30" customHeight="1" x14ac:dyDescent="0.25">
      <c r="A33" s="1"/>
    </row>
    <row r="34" spans="1:1" s="59" customFormat="1" ht="30" customHeight="1" x14ac:dyDescent="0.25">
      <c r="A34" s="1"/>
    </row>
    <row r="35" spans="1:1" s="59" customFormat="1" ht="30" customHeight="1" x14ac:dyDescent="0.25">
      <c r="A35" s="1"/>
    </row>
    <row r="36" spans="1:1" s="59" customFormat="1" ht="30" customHeight="1" x14ac:dyDescent="0.25">
      <c r="A36" s="1"/>
    </row>
    <row r="37" spans="1:1" s="59" customFormat="1" ht="30" customHeight="1" x14ac:dyDescent="0.25">
      <c r="A37" s="1"/>
    </row>
    <row r="38" spans="1:1" s="59" customFormat="1" ht="30" customHeight="1" x14ac:dyDescent="0.25">
      <c r="A38" s="1"/>
    </row>
    <row r="39" spans="1:1" s="59" customFormat="1" ht="30" customHeight="1" x14ac:dyDescent="0.25">
      <c r="A39" s="1"/>
    </row>
    <row r="40" spans="1:1" s="59" customFormat="1" ht="30" customHeight="1" x14ac:dyDescent="0.25">
      <c r="A40" s="1"/>
    </row>
    <row r="41" spans="1:1" s="59" customFormat="1" ht="30" customHeight="1" x14ac:dyDescent="0.25">
      <c r="A41" s="1"/>
    </row>
    <row r="42" spans="1:1" s="59" customFormat="1" ht="30" customHeight="1" x14ac:dyDescent="0.25">
      <c r="A42" s="1"/>
    </row>
    <row r="43" spans="1:1" s="59" customFormat="1" ht="30" customHeight="1" x14ac:dyDescent="0.25">
      <c r="A43" s="1"/>
    </row>
    <row r="44" spans="1:1" s="59" customFormat="1" ht="30" customHeight="1" x14ac:dyDescent="0.25">
      <c r="A44" s="1"/>
    </row>
    <row r="45" spans="1:1" s="59" customFormat="1" ht="30" customHeight="1" x14ac:dyDescent="0.25">
      <c r="A45" s="1"/>
    </row>
    <row r="46" spans="1:1" s="59" customFormat="1" ht="30" customHeight="1" x14ac:dyDescent="0.25">
      <c r="A46" s="1"/>
    </row>
    <row r="47" spans="1:1" s="59" customFormat="1" ht="30" customHeight="1" x14ac:dyDescent="0.25">
      <c r="A47" s="1"/>
    </row>
    <row r="48" spans="1:1" s="59" customFormat="1" ht="30" customHeight="1" x14ac:dyDescent="0.25">
      <c r="A48" s="1"/>
    </row>
    <row r="49" spans="1:1" s="59" customFormat="1" ht="30" customHeight="1" x14ac:dyDescent="0.25">
      <c r="A49" s="1"/>
    </row>
    <row r="50" spans="1:1" s="59" customFormat="1" ht="30" customHeight="1" x14ac:dyDescent="0.25">
      <c r="A50" s="1"/>
    </row>
    <row r="51" spans="1:1" s="59" customFormat="1" ht="30" customHeight="1" x14ac:dyDescent="0.25">
      <c r="A51" s="1"/>
    </row>
    <row r="52" spans="1:1" s="59" customFormat="1" ht="30" customHeight="1" x14ac:dyDescent="0.25">
      <c r="A52" s="1"/>
    </row>
    <row r="53" spans="1:1" s="59" customFormat="1" ht="30" customHeight="1" x14ac:dyDescent="0.25">
      <c r="A53" s="1"/>
    </row>
    <row r="54" spans="1:1" s="59" customFormat="1" ht="30" customHeight="1" x14ac:dyDescent="0.25">
      <c r="A54" s="1"/>
    </row>
    <row r="55" spans="1:1" s="59" customFormat="1" ht="30" customHeight="1" x14ac:dyDescent="0.25">
      <c r="A55" s="1"/>
    </row>
    <row r="56" spans="1:1" s="59" customFormat="1" ht="30" customHeight="1" x14ac:dyDescent="0.25">
      <c r="A56" s="1"/>
    </row>
    <row r="57" spans="1:1" s="59" customFormat="1" ht="30" customHeight="1" x14ac:dyDescent="0.25">
      <c r="A57" s="1"/>
    </row>
    <row r="58" spans="1:1" s="59" customFormat="1" ht="30" customHeight="1" x14ac:dyDescent="0.25">
      <c r="A58" s="1"/>
    </row>
    <row r="59" spans="1:1" s="59" customFormat="1" ht="30" customHeight="1" x14ac:dyDescent="0.25">
      <c r="A59" s="1"/>
    </row>
    <row r="60" spans="1:1" s="59" customFormat="1" ht="30" customHeight="1" x14ac:dyDescent="0.25">
      <c r="A60" s="1"/>
    </row>
    <row r="61" spans="1:1" s="59" customFormat="1" ht="30" customHeight="1" x14ac:dyDescent="0.25">
      <c r="A61" s="1"/>
    </row>
    <row r="62" spans="1:1" s="59" customFormat="1" ht="30" customHeight="1" x14ac:dyDescent="0.25">
      <c r="A62" s="1"/>
    </row>
    <row r="63" spans="1:1" s="59" customFormat="1" ht="30" customHeight="1" x14ac:dyDescent="0.25">
      <c r="A63" s="1"/>
    </row>
    <row r="64" spans="1:1" s="59" customFormat="1" ht="30" customHeight="1" x14ac:dyDescent="0.25">
      <c r="A64" s="1"/>
    </row>
    <row r="65" spans="1:1" s="59" customFormat="1" ht="30" customHeight="1" x14ac:dyDescent="0.25">
      <c r="A65" s="1"/>
    </row>
    <row r="66" spans="1:1" s="59" customFormat="1" ht="30" customHeight="1" x14ac:dyDescent="0.25">
      <c r="A66" s="1"/>
    </row>
    <row r="67" spans="1:1" s="59" customFormat="1" ht="30" customHeight="1" x14ac:dyDescent="0.25">
      <c r="A67" s="1"/>
    </row>
    <row r="68" spans="1:1" s="59" customFormat="1" ht="30" customHeight="1" x14ac:dyDescent="0.25">
      <c r="A68" s="1"/>
    </row>
    <row r="69" spans="1:1" s="59" customFormat="1" ht="30" customHeight="1" x14ac:dyDescent="0.25">
      <c r="A69" s="1"/>
    </row>
    <row r="70" spans="1:1" s="59" customFormat="1" ht="30" customHeight="1" x14ac:dyDescent="0.25">
      <c r="A70" s="1"/>
    </row>
    <row r="71" spans="1:1" s="59" customFormat="1" ht="30" customHeight="1" x14ac:dyDescent="0.25">
      <c r="A71" s="1"/>
    </row>
    <row r="72" spans="1:1" s="59" customFormat="1" ht="30" customHeight="1" x14ac:dyDescent="0.25">
      <c r="A72" s="1"/>
    </row>
    <row r="73" spans="1:1" s="59" customFormat="1" ht="30" customHeight="1" x14ac:dyDescent="0.25">
      <c r="A73" s="1"/>
    </row>
    <row r="74" spans="1:1" s="59" customFormat="1" ht="30" customHeight="1" x14ac:dyDescent="0.25">
      <c r="A74" s="1"/>
    </row>
    <row r="75" spans="1:1" s="59" customFormat="1" ht="30" customHeight="1" x14ac:dyDescent="0.25">
      <c r="A75" s="1"/>
    </row>
    <row r="76" spans="1:1" s="59" customFormat="1" ht="30" customHeight="1" x14ac:dyDescent="0.25">
      <c r="A76" s="1"/>
    </row>
    <row r="77" spans="1:1" s="59" customFormat="1" ht="30" customHeight="1" x14ac:dyDescent="0.25">
      <c r="A77" s="1"/>
    </row>
    <row r="78" spans="1:1" s="59" customFormat="1" ht="30" customHeight="1" x14ac:dyDescent="0.25">
      <c r="A78" s="1"/>
    </row>
    <row r="79" spans="1:1" s="59" customFormat="1" ht="30" customHeight="1" x14ac:dyDescent="0.25">
      <c r="A79" s="1"/>
    </row>
    <row r="80" spans="1:1" s="59" customFormat="1" ht="30" customHeight="1" x14ac:dyDescent="0.25">
      <c r="A80" s="1"/>
    </row>
    <row r="81" spans="1:1" s="59" customFormat="1" ht="30" customHeight="1" x14ac:dyDescent="0.25">
      <c r="A81" s="1"/>
    </row>
    <row r="82" spans="1:1" s="59" customFormat="1" ht="30" customHeight="1" x14ac:dyDescent="0.25">
      <c r="A82" s="1"/>
    </row>
    <row r="83" spans="1:1" s="59" customFormat="1" ht="30" customHeight="1" x14ac:dyDescent="0.25">
      <c r="A83" s="1"/>
    </row>
    <row r="84" spans="1:1" s="59" customFormat="1" ht="30" customHeight="1" x14ac:dyDescent="0.25">
      <c r="A84" s="1"/>
    </row>
    <row r="85" spans="1:1" s="59" customFormat="1" ht="30" customHeight="1" x14ac:dyDescent="0.25">
      <c r="A85" s="1"/>
    </row>
    <row r="86" spans="1:1" s="59" customFormat="1" ht="30" customHeight="1" x14ac:dyDescent="0.25">
      <c r="A86" s="1"/>
    </row>
    <row r="87" spans="1:1" s="59" customFormat="1" ht="30" customHeight="1" x14ac:dyDescent="0.25">
      <c r="A87" s="1"/>
    </row>
    <row r="88" spans="1:1" s="59" customFormat="1" ht="30" customHeight="1" x14ac:dyDescent="0.25">
      <c r="A88" s="1"/>
    </row>
    <row r="89" spans="1:1" s="59" customFormat="1" ht="30" customHeight="1" x14ac:dyDescent="0.25">
      <c r="A89" s="1"/>
    </row>
    <row r="90" spans="1:1" s="59" customFormat="1" ht="30" customHeight="1" x14ac:dyDescent="0.25">
      <c r="A90" s="1"/>
    </row>
    <row r="91" spans="1:1" s="59" customFormat="1" ht="30" customHeight="1" x14ac:dyDescent="0.25">
      <c r="A91" s="1"/>
    </row>
    <row r="92" spans="1:1" s="59" customFormat="1" ht="30" customHeight="1" x14ac:dyDescent="0.25">
      <c r="A92" s="1"/>
    </row>
    <row r="93" spans="1:1" s="59" customFormat="1" ht="30" customHeight="1" x14ac:dyDescent="0.25">
      <c r="A93" s="1"/>
    </row>
    <row r="94" spans="1:1" s="59" customFormat="1" ht="30" customHeight="1" x14ac:dyDescent="0.25">
      <c r="A94" s="1"/>
    </row>
    <row r="95" spans="1:1" s="59" customFormat="1" ht="30" customHeight="1" x14ac:dyDescent="0.25">
      <c r="A95" s="1"/>
    </row>
    <row r="96" spans="1:1" s="59" customFormat="1" ht="30" customHeight="1" x14ac:dyDescent="0.25">
      <c r="A96" s="1"/>
    </row>
    <row r="97" spans="1:1" s="59" customFormat="1" ht="30" customHeight="1" x14ac:dyDescent="0.25">
      <c r="A97" s="1"/>
    </row>
    <row r="98" spans="1:1" s="59" customFormat="1" ht="30" customHeight="1" x14ac:dyDescent="0.25">
      <c r="A98" s="1"/>
    </row>
    <row r="99" spans="1:1" s="59" customFormat="1" ht="30" customHeight="1" x14ac:dyDescent="0.25">
      <c r="A99" s="1"/>
    </row>
    <row r="100" spans="1:1" s="59" customFormat="1" ht="30" customHeight="1" x14ac:dyDescent="0.25">
      <c r="A100" s="1"/>
    </row>
    <row r="101" spans="1:1" s="59" customFormat="1" ht="30" customHeight="1" x14ac:dyDescent="0.25">
      <c r="A101" s="1"/>
    </row>
    <row r="102" spans="1:1" s="59" customFormat="1" ht="30" customHeight="1" x14ac:dyDescent="0.25">
      <c r="A102" s="1"/>
    </row>
    <row r="103" spans="1:1" s="59" customFormat="1" ht="15" customHeight="1" x14ac:dyDescent="0.25">
      <c r="A103" s="1"/>
    </row>
  </sheetData>
  <sheetProtection password="900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7" sqref="C7:C8"/>
    </sheetView>
  </sheetViews>
  <sheetFormatPr defaultRowHeight="15" x14ac:dyDescent="0.25"/>
  <cols>
    <col min="1" max="1" width="2.7109375" style="7" customWidth="1"/>
    <col min="2" max="2" width="5.7109375" style="7" customWidth="1"/>
    <col min="3" max="3" width="27.28515625" style="7" bestFit="1" customWidth="1"/>
    <col min="4" max="4" width="15.5703125" style="7" hidden="1" customWidth="1"/>
    <col min="5" max="5" width="13.28515625" style="7" hidden="1" customWidth="1"/>
    <col min="6" max="6" width="13.42578125" style="7" hidden="1" customWidth="1"/>
    <col min="7" max="16384" width="9.140625" style="7"/>
  </cols>
  <sheetData>
    <row r="1" spans="2:6" s="3" customFormat="1" ht="30" customHeight="1" x14ac:dyDescent="0.25"/>
    <row r="2" spans="2:6" s="4" customFormat="1" ht="24.95" customHeight="1" x14ac:dyDescent="0.25"/>
    <row r="3" spans="2:6" s="5" customFormat="1" ht="20.100000000000001" customHeight="1" x14ac:dyDescent="0.25"/>
    <row r="4" spans="2:6" ht="21" x14ac:dyDescent="0.35">
      <c r="B4" s="68" t="s">
        <v>85</v>
      </c>
    </row>
    <row r="6" spans="2:6" ht="20.100000000000001" customHeight="1" x14ac:dyDescent="0.25">
      <c r="B6" s="69" t="s">
        <v>17</v>
      </c>
      <c r="C6" s="69" t="s">
        <v>25</v>
      </c>
      <c r="D6" s="70" t="s">
        <v>52</v>
      </c>
      <c r="E6" s="71" t="s">
        <v>53</v>
      </c>
      <c r="F6" s="72" t="s">
        <v>54</v>
      </c>
    </row>
    <row r="7" spans="2:6" ht="20.100000000000001" customHeight="1" x14ac:dyDescent="0.25">
      <c r="B7" s="73">
        <v>1</v>
      </c>
      <c r="C7" s="80" t="s">
        <v>18</v>
      </c>
      <c r="D7" s="77">
        <f ca="1">IF(C7="","",COUNTIFS(tbLancamentos[Categoria],C7,tbLancamentos[Momento da falha],"&gt;="&amp;Res!$C$9,tbLancamentos[Momento da falha],"&lt;"&amp;Res!$O$9)+F7)</f>
        <v>1.0001</v>
      </c>
      <c r="E7" s="83">
        <f ca="1">IF(C7="","",SUMIFS(tbLancamentos[Tempo indisponível],tbLancamentos[Categoria],C7,tbLancamentos[Momento da falha],"&gt;+"&amp;Res!$C$9,tbLancamentos[Momento da falha],"&lt;"&amp;Res!$O$9)+F7)</f>
        <v>0.26390345476354704</v>
      </c>
      <c r="F7" s="79">
        <v>1E-4</v>
      </c>
    </row>
    <row r="8" spans="2:6" ht="20.100000000000001" customHeight="1" x14ac:dyDescent="0.25">
      <c r="B8" s="73">
        <v>2</v>
      </c>
      <c r="C8" s="80" t="s">
        <v>97</v>
      </c>
      <c r="D8" s="77">
        <f ca="1">IF(C8="","",COUNTIFS(tbLancamentos[Categoria],C8,tbLancamentos[Momento da falha],"&gt;="&amp;Res!$C$9,tbLancamentos[Momento da falha],"&lt;"&amp;Res!$O$9)+F8)</f>
        <v>9.9989999999999996E-5</v>
      </c>
      <c r="E8" s="83">
        <f ca="1">IF(C8="","",SUMIFS(tbLancamentos[Tempo indisponível],tbLancamentos[Categoria],C8,tbLancamentos[Momento da falha],"&gt;+"&amp;Res!$C$9,tbLancamentos[Momento da falha],"&lt;"&amp;Res!$O$9)+F8)</f>
        <v>9.9989999999999996E-5</v>
      </c>
      <c r="F8" s="79">
        <v>9.9989999999999996E-5</v>
      </c>
    </row>
    <row r="9" spans="2:6" ht="20.100000000000001" customHeight="1" x14ac:dyDescent="0.25">
      <c r="B9" s="73">
        <v>3</v>
      </c>
      <c r="C9" s="74" t="s">
        <v>98</v>
      </c>
      <c r="D9" s="77">
        <f ca="1">IF(C9="","",COUNTIFS(tbLancamentos[Categoria],C9,tbLancamentos[Momento da falha],"&gt;="&amp;Res!$C$9,tbLancamentos[Momento da falha],"&lt;"&amp;Res!$O$9)+F9)</f>
        <v>9.9980000000000002E-5</v>
      </c>
      <c r="E9" s="83">
        <f ca="1">IF(C9="","",SUMIFS(tbLancamentos[Tempo indisponível],tbLancamentos[Categoria],C9,tbLancamentos[Momento da falha],"&gt;+"&amp;Res!$C$9,tbLancamentos[Momento da falha],"&lt;"&amp;Res!$O$9)+F9)</f>
        <v>9.9980000000000002E-5</v>
      </c>
      <c r="F9" s="79">
        <v>9.9980000000000002E-5</v>
      </c>
    </row>
    <row r="10" spans="2:6" ht="20.100000000000001" customHeight="1" x14ac:dyDescent="0.25">
      <c r="B10" s="73">
        <v>4</v>
      </c>
      <c r="C10" s="74" t="s">
        <v>20</v>
      </c>
      <c r="D10" s="77">
        <f ca="1">IF(C10="","",COUNTIFS(tbLancamentos[Categoria],C10,tbLancamentos[Momento da falha],"&gt;="&amp;Res!$C$9,tbLancamentos[Momento da falha],"&lt;"&amp;Res!$O$9)+F10)</f>
        <v>9.9969999999999993E-5</v>
      </c>
      <c r="E10" s="83">
        <f ca="1">IF(C10="","",SUMIFS(tbLancamentos[Tempo indisponível],tbLancamentos[Categoria],C10,tbLancamentos[Momento da falha],"&gt;+"&amp;Res!$C$9,tbLancamentos[Momento da falha],"&lt;"&amp;Res!$O$9)+F10)</f>
        <v>9.9969999999999993E-5</v>
      </c>
      <c r="F10" s="79">
        <v>9.9969999999999993E-5</v>
      </c>
    </row>
    <row r="11" spans="2:6" ht="20.100000000000001" customHeight="1" x14ac:dyDescent="0.25">
      <c r="B11" s="73">
        <v>5</v>
      </c>
      <c r="C11" s="74" t="s">
        <v>19</v>
      </c>
      <c r="D11" s="77">
        <f ca="1">IF(C11="","",COUNTIFS(tbLancamentos[Categoria],C11,tbLancamentos[Momento da falha],"&gt;="&amp;Res!$C$9,tbLancamentos[Momento da falha],"&lt;"&amp;Res!$O$9)+F11)</f>
        <v>9.9959999999999998E-5</v>
      </c>
      <c r="E11" s="83">
        <f ca="1">IF(C11="","",SUMIFS(tbLancamentos[Tempo indisponível],tbLancamentos[Categoria],C11,tbLancamentos[Momento da falha],"&gt;+"&amp;Res!$C$9,tbLancamentos[Momento da falha],"&lt;"&amp;Res!$O$9)+F11)</f>
        <v>9.9959999999999998E-5</v>
      </c>
      <c r="F11" s="79">
        <v>9.9959999999999998E-5</v>
      </c>
    </row>
    <row r="12" spans="2:6" ht="20.100000000000001" customHeight="1" x14ac:dyDescent="0.25">
      <c r="B12" s="73">
        <v>6</v>
      </c>
      <c r="C12" s="74"/>
      <c r="D12" s="77" t="str">
        <f>IF(C12="","",COUNTIFS(tbLancamentos[Categoria],C12,tbLancamentos[Momento da falha],"&gt;="&amp;Res!$C$9,tbLancamentos[Momento da falha],"&lt;"&amp;Res!$O$9)+F12)</f>
        <v/>
      </c>
      <c r="E12" s="83" t="str">
        <f>IF(C12="","",SUMIFS(tbLancamentos[Tempo indisponível],tbLancamentos[Categoria],C12,tbLancamentos[Momento da falha],"&gt;+"&amp;Res!$C$9,tbLancamentos[Momento da falha],"&lt;"&amp;Res!$O$9)+F12)</f>
        <v/>
      </c>
      <c r="F12" s="79">
        <v>9.9950000000000004E-5</v>
      </c>
    </row>
    <row r="13" spans="2:6" ht="20.100000000000001" customHeight="1" x14ac:dyDescent="0.25">
      <c r="B13" s="73">
        <v>7</v>
      </c>
      <c r="C13" s="74"/>
      <c r="D13" s="77" t="str">
        <f>IF(C13="","",COUNTIFS(tbLancamentos[Categoria],C13,tbLancamentos[Momento da falha],"&gt;="&amp;Res!$C$9,tbLancamentos[Momento da falha],"&lt;"&amp;Res!$O$9)+F13)</f>
        <v/>
      </c>
      <c r="E13" s="83" t="str">
        <f>IF(C13="","",SUMIFS(tbLancamentos[Tempo indisponível],tbLancamentos[Categoria],C13,tbLancamentos[Momento da falha],"&gt;+"&amp;Res!$C$9,tbLancamentos[Momento da falha],"&lt;"&amp;Res!$O$9)+F13)</f>
        <v/>
      </c>
      <c r="F13" s="79">
        <v>9.9939999999999995E-5</v>
      </c>
    </row>
    <row r="14" spans="2:6" ht="20.100000000000001" customHeight="1" x14ac:dyDescent="0.25">
      <c r="B14" s="73">
        <v>8</v>
      </c>
      <c r="C14" s="74"/>
      <c r="D14" s="77" t="str">
        <f>IF(C14="","",COUNTIFS(tbLancamentos[Categoria],C14,tbLancamentos[Momento da falha],"&gt;="&amp;Res!$C$9,tbLancamentos[Momento da falha],"&lt;"&amp;Res!$O$9)+F14)</f>
        <v/>
      </c>
      <c r="E14" s="83" t="str">
        <f>IF(C14="","",SUMIFS(tbLancamentos[Tempo indisponível],tbLancamentos[Categoria],C14,tbLancamentos[Momento da falha],"&gt;+"&amp;Res!$C$9,tbLancamentos[Momento da falha],"&lt;"&amp;Res!$O$9)+F14)</f>
        <v/>
      </c>
      <c r="F14" s="79">
        <v>9.9929999999999906E-5</v>
      </c>
    </row>
    <row r="15" spans="2:6" ht="20.100000000000001" customHeight="1" x14ac:dyDescent="0.25">
      <c r="B15" s="73">
        <v>9</v>
      </c>
      <c r="C15" s="74"/>
      <c r="D15" s="77" t="str">
        <f>IF(C15="","",COUNTIFS(tbLancamentos[Categoria],C15,tbLancamentos[Momento da falha],"&gt;="&amp;Res!$C$9,tbLancamentos[Momento da falha],"&lt;"&amp;Res!$O$9)+F15)</f>
        <v/>
      </c>
      <c r="E15" s="83" t="str">
        <f>IF(C15="","",SUMIFS(tbLancamentos[Tempo indisponível],tbLancamentos[Categoria],C15,tbLancamentos[Momento da falha],"&gt;+"&amp;Res!$C$9,tbLancamentos[Momento da falha],"&lt;"&amp;Res!$O$9)+F15)</f>
        <v/>
      </c>
      <c r="F15" s="79">
        <v>9.9919999999999897E-5</v>
      </c>
    </row>
    <row r="16" spans="2:6" ht="20.100000000000001" customHeight="1" x14ac:dyDescent="0.25">
      <c r="B16" s="73">
        <v>10</v>
      </c>
      <c r="C16" s="74"/>
      <c r="D16" s="77" t="str">
        <f>IF(C16="","",COUNTIFS(tbLancamentos[Categoria],C16,tbLancamentos[Momento da falha],"&gt;="&amp;Res!$C$9,tbLancamentos[Momento da falha],"&lt;"&amp;Res!$O$9)+F16)</f>
        <v/>
      </c>
      <c r="E16" s="83" t="str">
        <f>IF(C16="","",SUMIFS(tbLancamentos[Tempo indisponível],tbLancamentos[Categoria],C16,tbLancamentos[Momento da falha],"&gt;+"&amp;Res!$C$9,tbLancamentos[Momento da falha],"&lt;"&amp;Res!$O$9)+F16)</f>
        <v/>
      </c>
      <c r="F16" s="79">
        <v>9.9909999999999902E-5</v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showGridLines="0" workbookViewId="0">
      <selection activeCell="C7" sqref="C7:E8"/>
    </sheetView>
  </sheetViews>
  <sheetFormatPr defaultRowHeight="15" x14ac:dyDescent="0.25"/>
  <cols>
    <col min="1" max="1" width="2.7109375" style="7" customWidth="1"/>
    <col min="2" max="2" width="5.7109375" style="7" customWidth="1"/>
    <col min="3" max="3" width="27.28515625" style="7" bestFit="1" customWidth="1"/>
    <col min="4" max="5" width="27.28515625" style="7" customWidth="1"/>
    <col min="6" max="6" width="15.5703125" style="7" hidden="1" customWidth="1"/>
    <col min="7" max="7" width="13.28515625" style="7" hidden="1" customWidth="1"/>
    <col min="8" max="8" width="13.42578125" style="7" hidden="1" customWidth="1"/>
    <col min="9" max="16384" width="9.140625" style="7"/>
  </cols>
  <sheetData>
    <row r="1" spans="2:8" s="3" customFormat="1" ht="30" customHeight="1" x14ac:dyDescent="0.25"/>
    <row r="2" spans="2:8" s="4" customFormat="1" ht="24.95" customHeight="1" x14ac:dyDescent="0.25"/>
    <row r="3" spans="2:8" s="5" customFormat="1" ht="20.100000000000001" customHeight="1" x14ac:dyDescent="0.25"/>
    <row r="4" spans="2:8" ht="21" x14ac:dyDescent="0.35">
      <c r="B4" s="68" t="s">
        <v>85</v>
      </c>
    </row>
    <row r="6" spans="2:8" ht="20.100000000000001" customHeight="1" x14ac:dyDescent="0.25">
      <c r="B6" s="69" t="s">
        <v>17</v>
      </c>
      <c r="C6" s="69" t="s">
        <v>92</v>
      </c>
      <c r="D6" s="69" t="s">
        <v>99</v>
      </c>
      <c r="E6" s="69" t="s">
        <v>100</v>
      </c>
      <c r="F6" s="70" t="s">
        <v>52</v>
      </c>
      <c r="G6" s="71" t="s">
        <v>53</v>
      </c>
      <c r="H6" s="72" t="s">
        <v>54</v>
      </c>
    </row>
    <row r="7" spans="2:8" ht="20.100000000000001" customHeight="1" x14ac:dyDescent="0.25">
      <c r="B7" s="73">
        <v>1</v>
      </c>
      <c r="C7" s="80" t="s">
        <v>93</v>
      </c>
      <c r="D7" s="81">
        <v>0.92</v>
      </c>
      <c r="E7" s="82">
        <v>0.20833333333333334</v>
      </c>
      <c r="F7" s="77">
        <f ca="1">IF($C7="","",SUMIF(CadEqu!$C$7:$C$506,CadSet!$C7,CadEqu!$I$7:$I$506)+$H7)</f>
        <v>1.0005999000000001</v>
      </c>
      <c r="G7" s="78">
        <f ca="1">IF($C7="","",SUMIF(CadEqu!$C$7:$C$506,CadSet!$C7,CadEqu!$J$7:$J$506)+$H7)</f>
        <v>0.26440335476354704</v>
      </c>
      <c r="H7" s="79">
        <v>1E-4</v>
      </c>
    </row>
    <row r="8" spans="2:8" ht="20.100000000000001" customHeight="1" x14ac:dyDescent="0.25">
      <c r="B8" s="73">
        <v>2</v>
      </c>
      <c r="C8" s="80" t="s">
        <v>94</v>
      </c>
      <c r="D8" s="81">
        <v>0.94</v>
      </c>
      <c r="E8" s="82">
        <v>0.25</v>
      </c>
      <c r="F8" s="77">
        <f>IF($C8="","",SUMIF(CadEqu!$C$7:$C$506,CadSet!$C8,CadEqu!$I$7:$I$506)+$H8)</f>
        <v>9.9989999999999996E-5</v>
      </c>
      <c r="G8" s="78">
        <f>IF($C8="","",SUMIF(CadEqu!$C$7:$C$506,CadSet!$C8,CadEqu!$J$7:$J$506)+$H8)</f>
        <v>9.9989999999999996E-5</v>
      </c>
      <c r="H8" s="79">
        <v>9.9989999999999996E-5</v>
      </c>
    </row>
    <row r="9" spans="2:8" ht="20.100000000000001" customHeight="1" x14ac:dyDescent="0.25">
      <c r="B9" s="73">
        <v>3</v>
      </c>
      <c r="C9" s="74" t="s">
        <v>95</v>
      </c>
      <c r="D9" s="75">
        <v>0.93</v>
      </c>
      <c r="E9" s="76">
        <v>0.27083333333333331</v>
      </c>
      <c r="F9" s="77">
        <f>IF($C9="","",SUMIF(CadEqu!$C$7:$C$506,CadSet!$C9,CadEqu!$I$7:$I$506)+$H9)</f>
        <v>9.9980000000000002E-5</v>
      </c>
      <c r="G9" s="78">
        <f>IF($C9="","",SUMIF(CadEqu!$C$7:$C$506,CadSet!$C9,CadEqu!$J$7:$J$506)+$H9)</f>
        <v>9.9980000000000002E-5</v>
      </c>
      <c r="H9" s="79">
        <v>9.9980000000000002E-5</v>
      </c>
    </row>
    <row r="10" spans="2:8" ht="20.100000000000001" customHeight="1" x14ac:dyDescent="0.25">
      <c r="B10" s="73">
        <v>4</v>
      </c>
      <c r="C10" s="74" t="s">
        <v>96</v>
      </c>
      <c r="D10" s="75">
        <v>0.92</v>
      </c>
      <c r="E10" s="76">
        <v>0.29166666666666669</v>
      </c>
      <c r="F10" s="77">
        <f>IF($C10="","",SUMIF(CadEqu!$C$7:$C$506,CadSet!$C10,CadEqu!$I$7:$I$506)+$H10)</f>
        <v>9.9969999999999993E-5</v>
      </c>
      <c r="G10" s="78">
        <f>IF($C10="","",SUMIF(CadEqu!$C$7:$C$506,CadSet!$C10,CadEqu!$J$7:$J$506)+$H10)</f>
        <v>9.9969999999999993E-5</v>
      </c>
      <c r="H10" s="79">
        <v>9.9969999999999993E-5</v>
      </c>
    </row>
    <row r="11" spans="2:8" ht="20.100000000000001" customHeight="1" x14ac:dyDescent="0.25">
      <c r="B11" s="73">
        <v>5</v>
      </c>
      <c r="C11" s="74"/>
      <c r="D11" s="75"/>
      <c r="E11" s="76"/>
      <c r="F11" s="77" t="str">
        <f>IF($C11="","",SUMIF(CadEqu!$C$7:$C$506,CadSet!$C11,CadEqu!$I$7:$I$506)+$H11)</f>
        <v/>
      </c>
      <c r="G11" s="78" t="str">
        <f>IF($C11="","",SUMIF(CadEqu!$C$7:$C$506,CadSet!$C11,CadEqu!$J$7:$J$506)+$H11)</f>
        <v/>
      </c>
      <c r="H11" s="79">
        <v>9.9959999999999998E-5</v>
      </c>
    </row>
    <row r="12" spans="2:8" ht="20.100000000000001" customHeight="1" x14ac:dyDescent="0.25">
      <c r="B12" s="73">
        <v>6</v>
      </c>
      <c r="C12" s="74"/>
      <c r="D12" s="75"/>
      <c r="E12" s="76"/>
      <c r="F12" s="77" t="str">
        <f>IF($C12="","",SUMIF(CadEqu!$C$7:$C$506,CadSet!$C12,CadEqu!$I$7:$I$506)+$H12)</f>
        <v/>
      </c>
      <c r="G12" s="78" t="str">
        <f>IF($C12="","",SUMIF(CadEqu!$C$7:$C$506,CadSet!$C12,CadEqu!$J$7:$J$506)+$H12)</f>
        <v/>
      </c>
      <c r="H12" s="79">
        <v>9.9950000000000004E-5</v>
      </c>
    </row>
    <row r="13" spans="2:8" ht="20.100000000000001" customHeight="1" x14ac:dyDescent="0.25">
      <c r="B13" s="73">
        <v>7</v>
      </c>
      <c r="C13" s="74"/>
      <c r="D13" s="75"/>
      <c r="E13" s="76"/>
      <c r="F13" s="77" t="str">
        <f>IF($C13="","",SUMIF(CadEqu!$C$7:$C$506,CadSet!$C13,CadEqu!$I$7:$I$506)+$H13)</f>
        <v/>
      </c>
      <c r="G13" s="78" t="str">
        <f>IF($C13="","",SUMIF(CadEqu!$C$7:$C$506,CadSet!$C13,CadEqu!$J$7:$J$506)+$H13)</f>
        <v/>
      </c>
      <c r="H13" s="79">
        <v>9.9939999999999995E-5</v>
      </c>
    </row>
    <row r="14" spans="2:8" ht="20.100000000000001" customHeight="1" x14ac:dyDescent="0.25">
      <c r="B14" s="73">
        <v>8</v>
      </c>
      <c r="C14" s="74"/>
      <c r="D14" s="75"/>
      <c r="E14" s="76"/>
      <c r="F14" s="77" t="str">
        <f>IF($C14="","",SUMIF(CadEqu!$C$7:$C$506,CadSet!$C14,CadEqu!$I$7:$I$506)+$H14)</f>
        <v/>
      </c>
      <c r="G14" s="78" t="str">
        <f>IF($C14="","",SUMIF(CadEqu!$C$7:$C$506,CadSet!$C14,CadEqu!$J$7:$J$506)+$H14)</f>
        <v/>
      </c>
      <c r="H14" s="79">
        <v>9.9929999999999906E-5</v>
      </c>
    </row>
    <row r="15" spans="2:8" ht="20.100000000000001" customHeight="1" x14ac:dyDescent="0.25">
      <c r="B15" s="73">
        <v>9</v>
      </c>
      <c r="C15" s="74"/>
      <c r="D15" s="75"/>
      <c r="E15" s="76"/>
      <c r="F15" s="77" t="str">
        <f>IF($C15="","",SUMIF(CadEqu!$C$7:$C$506,CadSet!$C15,CadEqu!$I$7:$I$506)+$H15)</f>
        <v/>
      </c>
      <c r="G15" s="78" t="str">
        <f>IF($C15="","",SUMIF(CadEqu!$C$7:$C$506,CadSet!$C15,CadEqu!$J$7:$J$506)+$H15)</f>
        <v/>
      </c>
      <c r="H15" s="79">
        <v>9.9919999999999897E-5</v>
      </c>
    </row>
    <row r="16" spans="2:8" ht="20.100000000000001" customHeight="1" x14ac:dyDescent="0.25">
      <c r="B16" s="73">
        <v>10</v>
      </c>
      <c r="C16" s="74"/>
      <c r="D16" s="75"/>
      <c r="E16" s="76"/>
      <c r="F16" s="77" t="str">
        <f>IF($C16="","",SUMIF(CadEqu!$C$7:$C$506,CadSet!$C16,CadEqu!$I$7:$I$506)+$H16)</f>
        <v/>
      </c>
      <c r="G16" s="78" t="str">
        <f>IF($C16="","",SUMIF(CadEqu!$C$7:$C$506,CadSet!$C16,CadEqu!$J$7:$J$506)+$H16)</f>
        <v/>
      </c>
      <c r="H16" s="79">
        <v>9.9909999999999902E-5</v>
      </c>
    </row>
    <row r="17" spans="2:8" ht="20.100000000000001" customHeight="1" x14ac:dyDescent="0.25">
      <c r="B17" s="73">
        <v>11</v>
      </c>
      <c r="C17" s="74"/>
      <c r="D17" s="75"/>
      <c r="E17" s="76"/>
      <c r="F17" s="77" t="str">
        <f>IF($C17="","",SUMIF(CadEqu!$C$7:$C$506,CadSet!$C17,CadEqu!$I$7:$I$506)+$H17)</f>
        <v/>
      </c>
      <c r="G17" s="78" t="str">
        <f>IF($C17="","",SUMIF(CadEqu!$C$7:$C$506,CadSet!$C17,CadEqu!$J$7:$J$506)+$H17)</f>
        <v/>
      </c>
      <c r="H17" s="79">
        <v>9.9899999999999894E-5</v>
      </c>
    </row>
    <row r="18" spans="2:8" ht="20.100000000000001" customHeight="1" x14ac:dyDescent="0.25">
      <c r="B18" s="73">
        <v>12</v>
      </c>
      <c r="C18" s="74"/>
      <c r="D18" s="75"/>
      <c r="E18" s="76"/>
      <c r="F18" s="77" t="str">
        <f>IF($C18="","",SUMIF(CadEqu!$C$7:$C$506,CadSet!$C18,CadEqu!$I$7:$I$506)+$H18)</f>
        <v/>
      </c>
      <c r="G18" s="78" t="str">
        <f>IF($C18="","",SUMIF(CadEqu!$C$7:$C$506,CadSet!$C18,CadEqu!$J$7:$J$506)+$H18)</f>
        <v/>
      </c>
      <c r="H18" s="79">
        <v>9.9889999999999899E-5</v>
      </c>
    </row>
    <row r="19" spans="2:8" ht="20.100000000000001" customHeight="1" x14ac:dyDescent="0.25">
      <c r="B19" s="73">
        <v>13</v>
      </c>
      <c r="C19" s="74"/>
      <c r="D19" s="75"/>
      <c r="E19" s="76"/>
      <c r="F19" s="77" t="str">
        <f>IF($C19="","",SUMIF(CadEqu!$C$7:$C$506,CadSet!$C19,CadEqu!$I$7:$I$506)+$H19)</f>
        <v/>
      </c>
      <c r="G19" s="78" t="str">
        <f>IF($C19="","",SUMIF(CadEqu!$C$7:$C$506,CadSet!$C19,CadEqu!$J$7:$J$506)+$H19)</f>
        <v/>
      </c>
      <c r="H19" s="79">
        <v>9.9879999999999904E-5</v>
      </c>
    </row>
    <row r="20" spans="2:8" ht="20.100000000000001" customHeight="1" x14ac:dyDescent="0.25">
      <c r="B20" s="73">
        <v>14</v>
      </c>
      <c r="C20" s="74"/>
      <c r="D20" s="75"/>
      <c r="E20" s="76"/>
      <c r="F20" s="77" t="str">
        <f>IF($C20="","",SUMIF(CadEqu!$C$7:$C$506,CadSet!$C20,CadEqu!$I$7:$I$506)+$H20)</f>
        <v/>
      </c>
      <c r="G20" s="78" t="str">
        <f>IF($C20="","",SUMIF(CadEqu!$C$7:$C$506,CadSet!$C20,CadEqu!$J$7:$J$506)+$H20)</f>
        <v/>
      </c>
      <c r="H20" s="79">
        <v>9.9869999999999896E-5</v>
      </c>
    </row>
    <row r="21" spans="2:8" ht="20.100000000000001" customHeight="1" x14ac:dyDescent="0.25">
      <c r="B21" s="73">
        <v>15</v>
      </c>
      <c r="C21" s="74"/>
      <c r="D21" s="75"/>
      <c r="E21" s="76"/>
      <c r="F21" s="77" t="str">
        <f>IF($C21="","",SUMIF(CadEqu!$C$7:$C$506,CadSet!$C21,CadEqu!$I$7:$I$506)+$H21)</f>
        <v/>
      </c>
      <c r="G21" s="78" t="str">
        <f>IF($C21="","",SUMIF(CadEqu!$C$7:$C$506,CadSet!$C21,CadEqu!$J$7:$J$506)+$H21)</f>
        <v/>
      </c>
      <c r="H21" s="79">
        <v>9.9859999999999901E-5</v>
      </c>
    </row>
    <row r="22" spans="2:8" ht="20.100000000000001" customHeight="1" x14ac:dyDescent="0.25">
      <c r="B22" s="73">
        <v>16</v>
      </c>
      <c r="C22" s="74"/>
      <c r="D22" s="75"/>
      <c r="E22" s="76"/>
      <c r="F22" s="77" t="str">
        <f>IF($C22="","",SUMIF(CadEqu!$C$7:$C$506,CadSet!$C22,CadEqu!$I$7:$I$506)+$H22)</f>
        <v/>
      </c>
      <c r="G22" s="78" t="str">
        <f>IF($C22="","",SUMIF(CadEqu!$C$7:$C$506,CadSet!$C22,CadEqu!$J$7:$J$506)+$H22)</f>
        <v/>
      </c>
      <c r="H22" s="79">
        <v>9.9849999999999906E-5</v>
      </c>
    </row>
    <row r="23" spans="2:8" ht="20.100000000000001" customHeight="1" x14ac:dyDescent="0.25">
      <c r="B23" s="73">
        <v>17</v>
      </c>
      <c r="C23" s="74"/>
      <c r="D23" s="75"/>
      <c r="E23" s="76"/>
      <c r="F23" s="77" t="str">
        <f>IF($C23="","",SUMIF(CadEqu!$C$7:$C$506,CadSet!$C23,CadEqu!$I$7:$I$506)+$H23)</f>
        <v/>
      </c>
      <c r="G23" s="78" t="str">
        <f>IF($C23="","",SUMIF(CadEqu!$C$7:$C$506,CadSet!$C23,CadEqu!$J$7:$J$506)+$H23)</f>
        <v/>
      </c>
      <c r="H23" s="79">
        <v>9.9839999999999898E-5</v>
      </c>
    </row>
    <row r="24" spans="2:8" ht="20.100000000000001" customHeight="1" x14ac:dyDescent="0.25">
      <c r="B24" s="73">
        <v>18</v>
      </c>
      <c r="C24" s="74"/>
      <c r="D24" s="75"/>
      <c r="E24" s="76"/>
      <c r="F24" s="77" t="str">
        <f>IF($C24="","",SUMIF(CadEqu!$C$7:$C$506,CadSet!$C24,CadEqu!$I$7:$I$506)+$H24)</f>
        <v/>
      </c>
      <c r="G24" s="78" t="str">
        <f>IF($C24="","",SUMIF(CadEqu!$C$7:$C$506,CadSet!$C24,CadEqu!$J$7:$J$506)+$H24)</f>
        <v/>
      </c>
      <c r="H24" s="79">
        <v>9.9829999999999903E-5</v>
      </c>
    </row>
    <row r="25" spans="2:8" ht="20.100000000000001" customHeight="1" x14ac:dyDescent="0.25">
      <c r="B25" s="73">
        <v>19</v>
      </c>
      <c r="C25" s="74"/>
      <c r="D25" s="75"/>
      <c r="E25" s="76"/>
      <c r="F25" s="77" t="str">
        <f>IF($C25="","",SUMIF(CadEqu!$C$7:$C$506,CadSet!$C25,CadEqu!$I$7:$I$506)+$H25)</f>
        <v/>
      </c>
      <c r="G25" s="78" t="str">
        <f>IF($C25="","",SUMIF(CadEqu!$C$7:$C$506,CadSet!$C25,CadEqu!$J$7:$J$506)+$H25)</f>
        <v/>
      </c>
      <c r="H25" s="79">
        <v>9.9819999999999895E-5</v>
      </c>
    </row>
    <row r="26" spans="2:8" ht="20.100000000000001" customHeight="1" x14ac:dyDescent="0.25">
      <c r="B26" s="73">
        <v>20</v>
      </c>
      <c r="C26" s="74"/>
      <c r="D26" s="75"/>
      <c r="E26" s="76"/>
      <c r="F26" s="77" t="str">
        <f>IF($C26="","",SUMIF(CadEqu!$C$7:$C$506,CadSet!$C26,CadEqu!$I$7:$I$506)+$H26)</f>
        <v/>
      </c>
      <c r="G26" s="78" t="str">
        <f>IF($C26="","",SUMIF(CadEqu!$C$7:$C$506,CadSet!$C26,CadEqu!$J$7:$J$506)+$H26)</f>
        <v/>
      </c>
      <c r="H26" s="79">
        <v>9.9809999999999805E-5</v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6"/>
  <sheetViews>
    <sheetView showGridLines="0" workbookViewId="0">
      <selection activeCell="C12" sqref="C12"/>
    </sheetView>
  </sheetViews>
  <sheetFormatPr defaultRowHeight="15" x14ac:dyDescent="0.25"/>
  <cols>
    <col min="1" max="1" width="2.7109375" style="7" customWidth="1"/>
    <col min="2" max="2" width="5.7109375" style="7" customWidth="1"/>
    <col min="3" max="3" width="16.140625" style="7" customWidth="1"/>
    <col min="4" max="4" width="28.5703125" style="7" bestFit="1" customWidth="1"/>
    <col min="5" max="5" width="19.7109375" style="7" bestFit="1" customWidth="1"/>
    <col min="6" max="6" width="41.5703125" style="7" hidden="1" customWidth="1"/>
    <col min="7" max="7" width="23.140625" style="7" hidden="1" customWidth="1"/>
    <col min="8" max="8" width="24.140625" style="7" hidden="1" customWidth="1"/>
    <col min="9" max="9" width="15.5703125" style="7" hidden="1" customWidth="1"/>
    <col min="10" max="10" width="13.28515625" style="7" hidden="1" customWidth="1"/>
    <col min="11" max="11" width="17.7109375" style="7" hidden="1" customWidth="1"/>
    <col min="12" max="12" width="25.28515625" style="7" hidden="1" customWidth="1"/>
    <col min="13" max="16384" width="9.140625" style="7"/>
  </cols>
  <sheetData>
    <row r="1" spans="2:12" s="3" customFormat="1" ht="30" customHeight="1" x14ac:dyDescent="0.25"/>
    <row r="2" spans="2:12" s="4" customFormat="1" ht="24.95" customHeight="1" x14ac:dyDescent="0.25"/>
    <row r="3" spans="2:12" s="5" customFormat="1" ht="20.100000000000001" customHeight="1" x14ac:dyDescent="0.25"/>
    <row r="4" spans="2:12" ht="21" x14ac:dyDescent="0.35">
      <c r="B4" s="68" t="s">
        <v>85</v>
      </c>
      <c r="C4" s="68"/>
    </row>
    <row r="6" spans="2:12" ht="20.100000000000001" customHeight="1" x14ac:dyDescent="0.25">
      <c r="B6" s="69" t="s">
        <v>17</v>
      </c>
      <c r="C6" s="69" t="s">
        <v>92</v>
      </c>
      <c r="D6" s="69" t="s">
        <v>26</v>
      </c>
      <c r="E6" s="69" t="s">
        <v>25</v>
      </c>
      <c r="F6" s="84" t="s">
        <v>101</v>
      </c>
      <c r="G6" s="85" t="s">
        <v>99</v>
      </c>
      <c r="H6" s="85" t="s">
        <v>100</v>
      </c>
      <c r="I6" s="70" t="s">
        <v>52</v>
      </c>
      <c r="J6" s="71" t="s">
        <v>53</v>
      </c>
      <c r="K6" s="72" t="s">
        <v>54</v>
      </c>
      <c r="L6" s="86" t="s">
        <v>83</v>
      </c>
    </row>
    <row r="7" spans="2:12" ht="20.100000000000001" customHeight="1" x14ac:dyDescent="0.25">
      <c r="B7" s="87">
        <v>1</v>
      </c>
      <c r="C7" s="92" t="s">
        <v>93</v>
      </c>
      <c r="D7" s="80" t="s">
        <v>102</v>
      </c>
      <c r="E7" s="80" t="s">
        <v>18</v>
      </c>
      <c r="F7" s="84" t="str">
        <f>IF(AND(C7&lt;&gt;"",D7&lt;&gt;""),C7&amp;" - "&amp;D7,"")</f>
        <v>Administrativo - Câmera 1</v>
      </c>
      <c r="G7" s="89">
        <f>IF(F7="","",VLOOKUP($C7,CadSet!$C$7:$E$26,2,FALSE))</f>
        <v>0.92</v>
      </c>
      <c r="H7" s="90">
        <f>IF(G7="","",VLOOKUP($C7,CadSet!$C$7:$E$26,3,FALSE))</f>
        <v>0.20833333333333334</v>
      </c>
      <c r="I7" s="91">
        <f ca="1">IF(F7="","",COUNTIFS(tbLancamentos[Equipamento],F7,tbLancamentos[Momento da falha],"&gt;="&amp;Res!$C$9,tbLancamentos[Momento da falha],"&lt;"&amp;Res!$O$9)+K7)</f>
        <v>1.0001</v>
      </c>
      <c r="J7" s="83">
        <f ca="1">IF(F7="","",SUMIFS(tbLancamentos[Tempo indisponível],tbLancamentos[Equipamento],F7,tbLancamentos[Momento da falha],"&gt;="&amp;Res!$C$9,tbLancamentos[Momento da falha],"&lt;"&amp;Res!$O$9)+K7)</f>
        <v>0.26390345476354704</v>
      </c>
      <c r="K7" s="79">
        <v>1E-4</v>
      </c>
      <c r="L7" s="71">
        <f>IF(F7="","",IFERROR(COUNTIFS(tbLancamentos[Equipamento],F7,tbLancamentos[Momento da falha],"&gt;"&amp;0,tbLancamentos[Momento do retorno],""),0))</f>
        <v>0</v>
      </c>
    </row>
    <row r="8" spans="2:12" ht="20.100000000000001" customHeight="1" x14ac:dyDescent="0.25">
      <c r="B8" s="87">
        <v>2</v>
      </c>
      <c r="C8" s="92" t="s">
        <v>93</v>
      </c>
      <c r="D8" s="80" t="s">
        <v>103</v>
      </c>
      <c r="E8" s="80" t="s">
        <v>97</v>
      </c>
      <c r="F8" s="84" t="str">
        <f t="shared" ref="F8:F71" si="0">IF(AND(C8&lt;&gt;"",D8&lt;&gt;""),C8&amp;" - "&amp;D8,"")</f>
        <v>Administrativo - Sensor 1</v>
      </c>
      <c r="G8" s="89">
        <f>IF(F8="","",VLOOKUP($C8,CadSet!$C$7:$E$26,2,FALSE))</f>
        <v>0.92</v>
      </c>
      <c r="H8" s="90">
        <f>IF(G8="","",VLOOKUP($C8,CadSet!$C$7:$E$26,3,FALSE))</f>
        <v>0.20833333333333334</v>
      </c>
      <c r="I8" s="91">
        <f ca="1">IF(F8="","",COUNTIFS(tbLancamentos[Equipamento],F8,tbLancamentos[Momento da falha],"&gt;="&amp;Res!$C$9,tbLancamentos[Momento da falha],"&lt;"&amp;Res!$O$9)+K8)</f>
        <v>9.9989999999999996E-5</v>
      </c>
      <c r="J8" s="83">
        <f ca="1">IF(F8="","",SUMIFS(tbLancamentos[Tempo indisponível],tbLancamentos[Equipamento],F8,tbLancamentos[Momento da falha],"&gt;="&amp;Res!$C$9,tbLancamentos[Momento da falha],"&lt;"&amp;Res!$O$9)+K8)</f>
        <v>9.9989999999999996E-5</v>
      </c>
      <c r="K8" s="79">
        <v>9.9989999999999996E-5</v>
      </c>
      <c r="L8" s="71">
        <f>IF(F8="","",IFERROR(COUNTIFS(tbLancamentos[Equipamento],F8,tbLancamentos[Momento da falha],"&gt;"&amp;0,tbLancamentos[Momento do retorno],""),0))</f>
        <v>0</v>
      </c>
    </row>
    <row r="9" spans="2:12" ht="20.100000000000001" customHeight="1" x14ac:dyDescent="0.25">
      <c r="B9" s="87">
        <v>3</v>
      </c>
      <c r="C9" s="92" t="s">
        <v>93</v>
      </c>
      <c r="D9" s="80" t="s">
        <v>104</v>
      </c>
      <c r="E9" s="80" t="s">
        <v>98</v>
      </c>
      <c r="F9" s="84" t="str">
        <f t="shared" si="0"/>
        <v>Administrativo - Central de alarme 1</v>
      </c>
      <c r="G9" s="89">
        <f>IF(F9="","",VLOOKUP($C9,CadSet!$C$7:$E$26,2,FALSE))</f>
        <v>0.92</v>
      </c>
      <c r="H9" s="90">
        <f>IF(G9="","",VLOOKUP($C9,CadSet!$C$7:$E$26,3,FALSE))</f>
        <v>0.20833333333333334</v>
      </c>
      <c r="I9" s="91">
        <f ca="1">IF(F9="","",COUNTIFS(tbLancamentos[Equipamento],F9,tbLancamentos[Momento da falha],"&gt;="&amp;Res!$C$9,tbLancamentos[Momento da falha],"&lt;"&amp;Res!$O$9)+K9)</f>
        <v>9.9980000000000002E-5</v>
      </c>
      <c r="J9" s="83">
        <f ca="1">IF(F9="","",SUMIFS(tbLancamentos[Tempo indisponível],tbLancamentos[Equipamento],F9,tbLancamentos[Momento da falha],"&gt;="&amp;Res!$C$9,tbLancamentos[Momento da falha],"&lt;"&amp;Res!$O$9)+K9)</f>
        <v>9.9980000000000002E-5</v>
      </c>
      <c r="K9" s="79">
        <v>9.9980000000000002E-5</v>
      </c>
      <c r="L9" s="71">
        <f>IF(F9="","",IFERROR(COUNTIFS(tbLancamentos[Equipamento],F9,tbLancamentos[Momento da falha],"&gt;"&amp;0,tbLancamentos[Momento do retorno],""),0))</f>
        <v>0</v>
      </c>
    </row>
    <row r="10" spans="2:12" ht="20.100000000000001" customHeight="1" x14ac:dyDescent="0.25">
      <c r="B10" s="87">
        <v>4</v>
      </c>
      <c r="C10" s="88" t="s">
        <v>93</v>
      </c>
      <c r="D10" s="74" t="s">
        <v>105</v>
      </c>
      <c r="E10" s="74" t="s">
        <v>20</v>
      </c>
      <c r="F10" s="84" t="str">
        <f t="shared" si="0"/>
        <v>Administrativo - Servidor 1</v>
      </c>
      <c r="G10" s="89">
        <f>IF(F10="","",VLOOKUP($C10,CadSet!$C$7:$E$26,2,FALSE))</f>
        <v>0.92</v>
      </c>
      <c r="H10" s="90">
        <f>IF(G10="","",VLOOKUP($C10,CadSet!$C$7:$E$26,3,FALSE))</f>
        <v>0.20833333333333334</v>
      </c>
      <c r="I10" s="91">
        <f ca="1">IF(F10="","",COUNTIFS(tbLancamentos[Equipamento],F10,tbLancamentos[Momento da falha],"&gt;="&amp;Res!$C$9,tbLancamentos[Momento da falha],"&lt;"&amp;Res!$O$9)+K10)</f>
        <v>9.9969999999999993E-5</v>
      </c>
      <c r="J10" s="83">
        <f ca="1">IF(F10="","",SUMIFS(tbLancamentos[Tempo indisponível],tbLancamentos[Equipamento],F10,tbLancamentos[Momento da falha],"&gt;="&amp;Res!$C$9,tbLancamentos[Momento da falha],"&lt;"&amp;Res!$O$9)+K10)</f>
        <v>9.9969999999999993E-5</v>
      </c>
      <c r="K10" s="79">
        <v>9.9969999999999993E-5</v>
      </c>
      <c r="L10" s="71">
        <f>IF(F10="","",IFERROR(COUNTIFS(tbLancamentos[Equipamento],F10,tbLancamentos[Momento da falha],"&gt;"&amp;0,tbLancamentos[Momento do retorno],""),0))</f>
        <v>0</v>
      </c>
    </row>
    <row r="11" spans="2:12" ht="20.100000000000001" customHeight="1" x14ac:dyDescent="0.25">
      <c r="B11" s="87">
        <v>5</v>
      </c>
      <c r="C11" s="88" t="s">
        <v>93</v>
      </c>
      <c r="D11" s="74" t="s">
        <v>106</v>
      </c>
      <c r="E11" s="74" t="s">
        <v>19</v>
      </c>
      <c r="F11" s="84" t="str">
        <f t="shared" si="0"/>
        <v>Administrativo - DVR 1</v>
      </c>
      <c r="G11" s="89">
        <f>IF(F11="","",VLOOKUP($C11,CadSet!$C$7:$E$26,2,FALSE))</f>
        <v>0.92</v>
      </c>
      <c r="H11" s="90">
        <f>IF(G11="","",VLOOKUP($C11,CadSet!$C$7:$E$26,3,FALSE))</f>
        <v>0.20833333333333334</v>
      </c>
      <c r="I11" s="91">
        <f ca="1">IF(F11="","",COUNTIFS(tbLancamentos[Equipamento],F11,tbLancamentos[Momento da falha],"&gt;="&amp;Res!$C$9,tbLancamentos[Momento da falha],"&lt;"&amp;Res!$O$9)+K11)</f>
        <v>9.9959999999999998E-5</v>
      </c>
      <c r="J11" s="83">
        <f ca="1">IF(F11="","",SUMIFS(tbLancamentos[Tempo indisponível],tbLancamentos[Equipamento],F11,tbLancamentos[Momento da falha],"&gt;="&amp;Res!$C$9,tbLancamentos[Momento da falha],"&lt;"&amp;Res!$O$9)+K11)</f>
        <v>9.9959999999999998E-5</v>
      </c>
      <c r="K11" s="79">
        <v>9.9959999999999998E-5</v>
      </c>
      <c r="L11" s="71">
        <f>IF(F11="","",IFERROR(COUNTIFS(tbLancamentos[Equipamento],F11,tbLancamentos[Momento da falha],"&gt;"&amp;0,tbLancamentos[Momento do retorno],""),0))</f>
        <v>0</v>
      </c>
    </row>
    <row r="12" spans="2:12" ht="20.100000000000001" customHeight="1" x14ac:dyDescent="0.25">
      <c r="B12" s="87">
        <v>6</v>
      </c>
      <c r="C12" s="88"/>
      <c r="D12" s="74"/>
      <c r="E12" s="74"/>
      <c r="F12" s="84" t="str">
        <f t="shared" si="0"/>
        <v/>
      </c>
      <c r="G12" s="89" t="str">
        <f>IF(F12="","",VLOOKUP($C12,CadSet!$C$7:$E$26,2,FALSE))</f>
        <v/>
      </c>
      <c r="H12" s="90" t="str">
        <f>IF(G12="","",VLOOKUP($C12,CadSet!$C$7:$E$26,3,FALSE))</f>
        <v/>
      </c>
      <c r="I12" s="91" t="str">
        <f>IF(F12="","",COUNTIFS(tbLancamentos[Equipamento],F12,tbLancamentos[Momento da falha],"&gt;="&amp;Res!$C$9,tbLancamentos[Momento da falha],"&lt;"&amp;Res!$O$9)+K12)</f>
        <v/>
      </c>
      <c r="J12" s="83" t="str">
        <f>IF(F12="","",SUMIFS(tbLancamentos[Tempo indisponível],tbLancamentos[Equipamento],F12,tbLancamentos[Momento da falha],"&gt;="&amp;Res!$C$9,tbLancamentos[Momento da falha],"&lt;"&amp;Res!$O$9)+K12)</f>
        <v/>
      </c>
      <c r="K12" s="79">
        <v>9.9950000000000004E-5</v>
      </c>
      <c r="L12" s="71" t="str">
        <f>IF(F12="","",IFERROR(COUNTIFS(tbLancamentos[Equipamento],F12,tbLancamentos[Momento da falha],"&gt;"&amp;0,tbLancamentos[Momento do retorno],""),0))</f>
        <v/>
      </c>
    </row>
    <row r="13" spans="2:12" ht="20.100000000000001" customHeight="1" x14ac:dyDescent="0.25">
      <c r="B13" s="87">
        <v>7</v>
      </c>
      <c r="C13" s="88"/>
      <c r="D13" s="74"/>
      <c r="E13" s="74"/>
      <c r="F13" s="84" t="str">
        <f t="shared" si="0"/>
        <v/>
      </c>
      <c r="G13" s="89" t="str">
        <f>IF(F13="","",VLOOKUP($C13,CadSet!$C$7:$E$26,2,FALSE))</f>
        <v/>
      </c>
      <c r="H13" s="90" t="str">
        <f>IF(G13="","",VLOOKUP($C13,CadSet!$C$7:$E$26,3,FALSE))</f>
        <v/>
      </c>
      <c r="I13" s="91" t="str">
        <f>IF(F13="","",COUNTIFS(tbLancamentos[Equipamento],F13,tbLancamentos[Momento da falha],"&gt;="&amp;Res!$C$9,tbLancamentos[Momento da falha],"&lt;"&amp;Res!$O$9)+K13)</f>
        <v/>
      </c>
      <c r="J13" s="83" t="str">
        <f>IF(F13="","",SUMIFS(tbLancamentos[Tempo indisponível],tbLancamentos[Equipamento],F13,tbLancamentos[Momento da falha],"&gt;="&amp;Res!$C$9,tbLancamentos[Momento da falha],"&lt;"&amp;Res!$O$9)+K13)</f>
        <v/>
      </c>
      <c r="K13" s="79">
        <v>9.9939999999999995E-5</v>
      </c>
      <c r="L13" s="71" t="str">
        <f>IF(F13="","",IFERROR(COUNTIFS(tbLancamentos[Equipamento],F13,tbLancamentos[Momento da falha],"&gt;"&amp;0,tbLancamentos[Momento do retorno],""),0))</f>
        <v/>
      </c>
    </row>
    <row r="14" spans="2:12" ht="20.100000000000001" customHeight="1" x14ac:dyDescent="0.25">
      <c r="B14" s="87">
        <v>8</v>
      </c>
      <c r="C14" s="88"/>
      <c r="D14" s="74"/>
      <c r="E14" s="74"/>
      <c r="F14" s="84" t="str">
        <f t="shared" si="0"/>
        <v/>
      </c>
      <c r="G14" s="89" t="str">
        <f>IF(F14="","",VLOOKUP($C14,CadSet!$C$7:$E$26,2,FALSE))</f>
        <v/>
      </c>
      <c r="H14" s="90" t="str">
        <f>IF(G14="","",VLOOKUP($C14,CadSet!$C$7:$E$26,3,FALSE))</f>
        <v/>
      </c>
      <c r="I14" s="91" t="str">
        <f>IF(F14="","",COUNTIFS(tbLancamentos[Equipamento],F14,tbLancamentos[Momento da falha],"&gt;="&amp;Res!$C$9,tbLancamentos[Momento da falha],"&lt;"&amp;Res!$O$9)+K14)</f>
        <v/>
      </c>
      <c r="J14" s="83" t="str">
        <f>IF(F14="","",SUMIFS(tbLancamentos[Tempo indisponível],tbLancamentos[Equipamento],F14,tbLancamentos[Momento da falha],"&gt;="&amp;Res!$C$9,tbLancamentos[Momento da falha],"&lt;"&amp;Res!$O$9)+K14)</f>
        <v/>
      </c>
      <c r="K14" s="79">
        <v>9.9929999999999906E-5</v>
      </c>
      <c r="L14" s="71" t="str">
        <f>IF(F14="","",IFERROR(COUNTIFS(tbLancamentos[Equipamento],F14,tbLancamentos[Momento da falha],"&gt;"&amp;0,tbLancamentos[Momento do retorno],""),0))</f>
        <v/>
      </c>
    </row>
    <row r="15" spans="2:12" ht="20.100000000000001" customHeight="1" x14ac:dyDescent="0.25">
      <c r="B15" s="87">
        <v>9</v>
      </c>
      <c r="C15" s="88"/>
      <c r="D15" s="74"/>
      <c r="E15" s="74"/>
      <c r="F15" s="84" t="str">
        <f t="shared" si="0"/>
        <v/>
      </c>
      <c r="G15" s="89" t="str">
        <f>IF(F15="","",VLOOKUP($C15,CadSet!$C$7:$E$26,2,FALSE))</f>
        <v/>
      </c>
      <c r="H15" s="90" t="str">
        <f>IF(G15="","",VLOOKUP($C15,CadSet!$C$7:$E$26,3,FALSE))</f>
        <v/>
      </c>
      <c r="I15" s="91" t="str">
        <f>IF(F15="","",COUNTIFS(tbLancamentos[Equipamento],F15,tbLancamentos[Momento da falha],"&gt;="&amp;Res!$C$9,tbLancamentos[Momento da falha],"&lt;"&amp;Res!$O$9)+K15)</f>
        <v/>
      </c>
      <c r="J15" s="83" t="str">
        <f>IF(F15="","",SUMIFS(tbLancamentos[Tempo indisponível],tbLancamentos[Equipamento],F15,tbLancamentos[Momento da falha],"&gt;="&amp;Res!$C$9,tbLancamentos[Momento da falha],"&lt;"&amp;Res!$O$9)+K15)</f>
        <v/>
      </c>
      <c r="K15" s="79">
        <v>9.9919999999999897E-5</v>
      </c>
      <c r="L15" s="71" t="str">
        <f>IF(F15="","",IFERROR(COUNTIFS(tbLancamentos[Equipamento],F15,tbLancamentos[Momento da falha],"&gt;"&amp;0,tbLancamentos[Momento do retorno],""),0))</f>
        <v/>
      </c>
    </row>
    <row r="16" spans="2:12" ht="20.100000000000001" customHeight="1" x14ac:dyDescent="0.25">
      <c r="B16" s="87">
        <v>10</v>
      </c>
      <c r="C16" s="88"/>
      <c r="D16" s="74"/>
      <c r="E16" s="74"/>
      <c r="F16" s="84" t="str">
        <f t="shared" si="0"/>
        <v/>
      </c>
      <c r="G16" s="89" t="str">
        <f>IF(F16="","",VLOOKUP($C16,CadSet!$C$7:$E$26,2,FALSE))</f>
        <v/>
      </c>
      <c r="H16" s="90" t="str">
        <f>IF(G16="","",VLOOKUP($C16,CadSet!$C$7:$E$26,3,FALSE))</f>
        <v/>
      </c>
      <c r="I16" s="91" t="str">
        <f>IF(F16="","",COUNTIFS(tbLancamentos[Equipamento],F16,tbLancamentos[Momento da falha],"&gt;="&amp;Res!$C$9,tbLancamentos[Momento da falha],"&lt;"&amp;Res!$O$9)+K16)</f>
        <v/>
      </c>
      <c r="J16" s="83" t="str">
        <f>IF(F16="","",SUMIFS(tbLancamentos[Tempo indisponível],tbLancamentos[Equipamento],F16,tbLancamentos[Momento da falha],"&gt;="&amp;Res!$C$9,tbLancamentos[Momento da falha],"&lt;"&amp;Res!$O$9)+K16)</f>
        <v/>
      </c>
      <c r="K16" s="79">
        <v>9.9909999999999902E-5</v>
      </c>
      <c r="L16" s="71" t="str">
        <f>IF(F16="","",IFERROR(COUNTIFS(tbLancamentos[Equipamento],F16,tbLancamentos[Momento da falha],"&gt;"&amp;0,tbLancamentos[Momento do retorno],""),0))</f>
        <v/>
      </c>
    </row>
    <row r="17" spans="2:12" ht="20.100000000000001" customHeight="1" x14ac:dyDescent="0.25">
      <c r="B17" s="87">
        <v>11</v>
      </c>
      <c r="C17" s="88"/>
      <c r="D17" s="74"/>
      <c r="E17" s="74"/>
      <c r="F17" s="84" t="str">
        <f t="shared" si="0"/>
        <v/>
      </c>
      <c r="G17" s="89" t="str">
        <f>IF(F17="","",VLOOKUP($C17,CadSet!$C$7:$E$26,2,FALSE))</f>
        <v/>
      </c>
      <c r="H17" s="90" t="str">
        <f>IF(G17="","",VLOOKUP($C17,CadSet!$C$7:$E$26,3,FALSE))</f>
        <v/>
      </c>
      <c r="I17" s="91" t="str">
        <f>IF(F17="","",COUNTIFS(tbLancamentos[Equipamento],F17,tbLancamentos[Momento da falha],"&gt;="&amp;Res!$C$9,tbLancamentos[Momento da falha],"&lt;"&amp;Res!$O$9)+K17)</f>
        <v/>
      </c>
      <c r="J17" s="83" t="str">
        <f>IF(F17="","",SUMIFS(tbLancamentos[Tempo indisponível],tbLancamentos[Equipamento],F17,tbLancamentos[Momento da falha],"&gt;="&amp;Res!$C$9,tbLancamentos[Momento da falha],"&lt;"&amp;Res!$O$9)+K17)</f>
        <v/>
      </c>
      <c r="K17" s="79">
        <v>9.9899999999999894E-5</v>
      </c>
      <c r="L17" s="71" t="str">
        <f>IF(F17="","",IFERROR(COUNTIFS(tbLancamentos[Equipamento],F17,tbLancamentos[Momento da falha],"&gt;"&amp;0,tbLancamentos[Momento do retorno],""),0))</f>
        <v/>
      </c>
    </row>
    <row r="18" spans="2:12" ht="20.100000000000001" customHeight="1" x14ac:dyDescent="0.25">
      <c r="B18" s="87">
        <v>12</v>
      </c>
      <c r="C18" s="88"/>
      <c r="D18" s="74"/>
      <c r="E18" s="74"/>
      <c r="F18" s="84" t="str">
        <f t="shared" si="0"/>
        <v/>
      </c>
      <c r="G18" s="89" t="str">
        <f>IF(F18="","",VLOOKUP($C18,CadSet!$C$7:$E$26,2,FALSE))</f>
        <v/>
      </c>
      <c r="H18" s="90" t="str">
        <f>IF(G18="","",VLOOKUP($C18,CadSet!$C$7:$E$26,3,FALSE))</f>
        <v/>
      </c>
      <c r="I18" s="91" t="str">
        <f>IF(F18="","",COUNTIFS(tbLancamentos[Equipamento],F18,tbLancamentos[Momento da falha],"&gt;="&amp;Res!$C$9,tbLancamentos[Momento da falha],"&lt;"&amp;Res!$O$9)+K18)</f>
        <v/>
      </c>
      <c r="J18" s="83" t="str">
        <f>IF(F18="","",SUMIFS(tbLancamentos[Tempo indisponível],tbLancamentos[Equipamento],F18,tbLancamentos[Momento da falha],"&gt;="&amp;Res!$C$9,tbLancamentos[Momento da falha],"&lt;"&amp;Res!$O$9)+K18)</f>
        <v/>
      </c>
      <c r="K18" s="79">
        <v>9.9889999999999899E-5</v>
      </c>
      <c r="L18" s="71" t="str">
        <f>IF(F18="","",IFERROR(COUNTIFS(tbLancamentos[Equipamento],F18,tbLancamentos[Momento da falha],"&gt;"&amp;0,tbLancamentos[Momento do retorno],""),0))</f>
        <v/>
      </c>
    </row>
    <row r="19" spans="2:12" ht="20.100000000000001" customHeight="1" x14ac:dyDescent="0.25">
      <c r="B19" s="87">
        <v>13</v>
      </c>
      <c r="C19" s="88"/>
      <c r="D19" s="74"/>
      <c r="E19" s="74"/>
      <c r="F19" s="84" t="str">
        <f t="shared" si="0"/>
        <v/>
      </c>
      <c r="G19" s="89" t="str">
        <f>IF(F19="","",VLOOKUP($C19,CadSet!$C$7:$E$26,2,FALSE))</f>
        <v/>
      </c>
      <c r="H19" s="90" t="str">
        <f>IF(G19="","",VLOOKUP($C19,CadSet!$C$7:$E$26,3,FALSE))</f>
        <v/>
      </c>
      <c r="I19" s="91" t="str">
        <f>IF(F19="","",COUNTIFS(tbLancamentos[Equipamento],F19,tbLancamentos[Momento da falha],"&gt;="&amp;Res!$C$9,tbLancamentos[Momento da falha],"&lt;"&amp;Res!$O$9)+K19)</f>
        <v/>
      </c>
      <c r="J19" s="83" t="str">
        <f>IF(F19="","",SUMIFS(tbLancamentos[Tempo indisponível],tbLancamentos[Equipamento],F19,tbLancamentos[Momento da falha],"&gt;="&amp;Res!$C$9,tbLancamentos[Momento da falha],"&lt;"&amp;Res!$O$9)+K19)</f>
        <v/>
      </c>
      <c r="K19" s="79">
        <v>9.9879999999999904E-5</v>
      </c>
      <c r="L19" s="71" t="str">
        <f>IF(F19="","",IFERROR(COUNTIFS(tbLancamentos[Equipamento],F19,tbLancamentos[Momento da falha],"&gt;"&amp;0,tbLancamentos[Momento do retorno],""),0))</f>
        <v/>
      </c>
    </row>
    <row r="20" spans="2:12" ht="20.100000000000001" customHeight="1" x14ac:dyDescent="0.25">
      <c r="B20" s="87">
        <v>14</v>
      </c>
      <c r="C20" s="88"/>
      <c r="D20" s="74"/>
      <c r="E20" s="74"/>
      <c r="F20" s="84" t="str">
        <f t="shared" si="0"/>
        <v/>
      </c>
      <c r="G20" s="89" t="str">
        <f>IF(F20="","",VLOOKUP($C20,CadSet!$C$7:$E$26,2,FALSE))</f>
        <v/>
      </c>
      <c r="H20" s="90" t="str">
        <f>IF(G20="","",VLOOKUP($C20,CadSet!$C$7:$E$26,3,FALSE))</f>
        <v/>
      </c>
      <c r="I20" s="91" t="str">
        <f>IF(F20="","",COUNTIFS(tbLancamentos[Equipamento],F20,tbLancamentos[Momento da falha],"&gt;="&amp;Res!$C$9,tbLancamentos[Momento da falha],"&lt;"&amp;Res!$O$9)+K20)</f>
        <v/>
      </c>
      <c r="J20" s="83" t="str">
        <f>IF(F20="","",SUMIFS(tbLancamentos[Tempo indisponível],tbLancamentos[Equipamento],F20,tbLancamentos[Momento da falha],"&gt;="&amp;Res!$C$9,tbLancamentos[Momento da falha],"&lt;"&amp;Res!$O$9)+K20)</f>
        <v/>
      </c>
      <c r="K20" s="79">
        <v>9.9869999999999896E-5</v>
      </c>
      <c r="L20" s="71" t="str">
        <f>IF(F20="","",IFERROR(COUNTIFS(tbLancamentos[Equipamento],F20,tbLancamentos[Momento da falha],"&gt;"&amp;0,tbLancamentos[Momento do retorno],""),0))</f>
        <v/>
      </c>
    </row>
    <row r="21" spans="2:12" ht="20.100000000000001" customHeight="1" x14ac:dyDescent="0.25">
      <c r="B21" s="87">
        <v>15</v>
      </c>
      <c r="C21" s="88"/>
      <c r="D21" s="74"/>
      <c r="E21" s="74"/>
      <c r="F21" s="84" t="str">
        <f t="shared" si="0"/>
        <v/>
      </c>
      <c r="G21" s="89" t="str">
        <f>IF(F21="","",VLOOKUP($C21,CadSet!$C$7:$E$26,2,FALSE))</f>
        <v/>
      </c>
      <c r="H21" s="90" t="str">
        <f>IF(G21="","",VLOOKUP($C21,CadSet!$C$7:$E$26,3,FALSE))</f>
        <v/>
      </c>
      <c r="I21" s="91" t="str">
        <f>IF(F21="","",COUNTIFS(tbLancamentos[Equipamento],F21,tbLancamentos[Momento da falha],"&gt;="&amp;Res!$C$9,tbLancamentos[Momento da falha],"&lt;"&amp;Res!$O$9)+K21)</f>
        <v/>
      </c>
      <c r="J21" s="83" t="str">
        <f>IF(F21="","",SUMIFS(tbLancamentos[Tempo indisponível],tbLancamentos[Equipamento],F21,tbLancamentos[Momento da falha],"&gt;="&amp;Res!$C$9,tbLancamentos[Momento da falha],"&lt;"&amp;Res!$O$9)+K21)</f>
        <v/>
      </c>
      <c r="K21" s="79">
        <v>9.9859999999999901E-5</v>
      </c>
      <c r="L21" s="71" t="str">
        <f>IF(F21="","",IFERROR(COUNTIFS(tbLancamentos[Equipamento],F21,tbLancamentos[Momento da falha],"&gt;"&amp;0,tbLancamentos[Momento do retorno],""),0))</f>
        <v/>
      </c>
    </row>
    <row r="22" spans="2:12" ht="20.100000000000001" customHeight="1" x14ac:dyDescent="0.25">
      <c r="B22" s="87">
        <v>16</v>
      </c>
      <c r="C22" s="88"/>
      <c r="D22" s="74"/>
      <c r="E22" s="74"/>
      <c r="F22" s="84" t="str">
        <f t="shared" si="0"/>
        <v/>
      </c>
      <c r="G22" s="89" t="str">
        <f>IF(F22="","",VLOOKUP($C22,CadSet!$C$7:$E$26,2,FALSE))</f>
        <v/>
      </c>
      <c r="H22" s="90" t="str">
        <f>IF(G22="","",VLOOKUP($C22,CadSet!$C$7:$E$26,3,FALSE))</f>
        <v/>
      </c>
      <c r="I22" s="91" t="str">
        <f>IF(F22="","",COUNTIFS(tbLancamentos[Equipamento],F22,tbLancamentos[Momento da falha],"&gt;="&amp;Res!$C$9,tbLancamentos[Momento da falha],"&lt;"&amp;Res!$O$9)+K22)</f>
        <v/>
      </c>
      <c r="J22" s="83" t="str">
        <f>IF(F22="","",SUMIFS(tbLancamentos[Tempo indisponível],tbLancamentos[Equipamento],F22,tbLancamentos[Momento da falha],"&gt;="&amp;Res!$C$9,tbLancamentos[Momento da falha],"&lt;"&amp;Res!$O$9)+K22)</f>
        <v/>
      </c>
      <c r="K22" s="79">
        <v>9.9849999999999906E-5</v>
      </c>
      <c r="L22" s="71" t="str">
        <f>IF(F22="","",IFERROR(COUNTIFS(tbLancamentos[Equipamento],F22,tbLancamentos[Momento da falha],"&gt;"&amp;0,tbLancamentos[Momento do retorno],""),0))</f>
        <v/>
      </c>
    </row>
    <row r="23" spans="2:12" ht="20.100000000000001" customHeight="1" x14ac:dyDescent="0.25">
      <c r="B23" s="87">
        <v>17</v>
      </c>
      <c r="C23" s="88"/>
      <c r="D23" s="74"/>
      <c r="E23" s="74"/>
      <c r="F23" s="84" t="str">
        <f t="shared" si="0"/>
        <v/>
      </c>
      <c r="G23" s="89" t="str">
        <f>IF(F23="","",VLOOKUP($C23,CadSet!$C$7:$E$26,2,FALSE))</f>
        <v/>
      </c>
      <c r="H23" s="90" t="str">
        <f>IF(G23="","",VLOOKUP($C23,CadSet!$C$7:$E$26,3,FALSE))</f>
        <v/>
      </c>
      <c r="I23" s="91" t="str">
        <f>IF(F23="","",COUNTIFS(tbLancamentos[Equipamento],F23,tbLancamentos[Momento da falha],"&gt;="&amp;Res!$C$9,tbLancamentos[Momento da falha],"&lt;"&amp;Res!$O$9)+K23)</f>
        <v/>
      </c>
      <c r="J23" s="83" t="str">
        <f>IF(F23="","",SUMIFS(tbLancamentos[Tempo indisponível],tbLancamentos[Equipamento],F23,tbLancamentos[Momento da falha],"&gt;="&amp;Res!$C$9,tbLancamentos[Momento da falha],"&lt;"&amp;Res!$O$9)+K23)</f>
        <v/>
      </c>
      <c r="K23" s="79">
        <v>9.9839999999999898E-5</v>
      </c>
      <c r="L23" s="71" t="str">
        <f>IF(F23="","",IFERROR(COUNTIFS(tbLancamentos[Equipamento],F23,tbLancamentos[Momento da falha],"&gt;"&amp;0,tbLancamentos[Momento do retorno],""),0))</f>
        <v/>
      </c>
    </row>
    <row r="24" spans="2:12" ht="20.100000000000001" customHeight="1" x14ac:dyDescent="0.25">
      <c r="B24" s="87">
        <v>18</v>
      </c>
      <c r="C24" s="88"/>
      <c r="D24" s="74"/>
      <c r="E24" s="74"/>
      <c r="F24" s="84" t="str">
        <f t="shared" si="0"/>
        <v/>
      </c>
      <c r="G24" s="89" t="str">
        <f>IF(F24="","",VLOOKUP($C24,CadSet!$C$7:$E$26,2,FALSE))</f>
        <v/>
      </c>
      <c r="H24" s="90" t="str">
        <f>IF(G24="","",VLOOKUP($C24,CadSet!$C$7:$E$26,3,FALSE))</f>
        <v/>
      </c>
      <c r="I24" s="91" t="str">
        <f>IF(F24="","",COUNTIFS(tbLancamentos[Equipamento],F24,tbLancamentos[Momento da falha],"&gt;="&amp;Res!$C$9,tbLancamentos[Momento da falha],"&lt;"&amp;Res!$O$9)+K24)</f>
        <v/>
      </c>
      <c r="J24" s="83" t="str">
        <f>IF(F24="","",SUMIFS(tbLancamentos[Tempo indisponível],tbLancamentos[Equipamento],F24,tbLancamentos[Momento da falha],"&gt;="&amp;Res!$C$9,tbLancamentos[Momento da falha],"&lt;"&amp;Res!$O$9)+K24)</f>
        <v/>
      </c>
      <c r="K24" s="79">
        <v>9.9829999999999903E-5</v>
      </c>
      <c r="L24" s="71" t="str">
        <f>IF(F24="","",IFERROR(COUNTIFS(tbLancamentos[Equipamento],F24,tbLancamentos[Momento da falha],"&gt;"&amp;0,tbLancamentos[Momento do retorno],""),0))</f>
        <v/>
      </c>
    </row>
    <row r="25" spans="2:12" ht="20.100000000000001" customHeight="1" x14ac:dyDescent="0.25">
      <c r="B25" s="87">
        <v>19</v>
      </c>
      <c r="C25" s="88"/>
      <c r="D25" s="74"/>
      <c r="E25" s="74"/>
      <c r="F25" s="84" t="str">
        <f t="shared" si="0"/>
        <v/>
      </c>
      <c r="G25" s="89" t="str">
        <f>IF(F25="","",VLOOKUP($C25,CadSet!$C$7:$E$26,2,FALSE))</f>
        <v/>
      </c>
      <c r="H25" s="90" t="str">
        <f>IF(G25="","",VLOOKUP($C25,CadSet!$C$7:$E$26,3,FALSE))</f>
        <v/>
      </c>
      <c r="I25" s="91" t="str">
        <f>IF(F25="","",COUNTIFS(tbLancamentos[Equipamento],F25,tbLancamentos[Momento da falha],"&gt;="&amp;Res!$C$9,tbLancamentos[Momento da falha],"&lt;"&amp;Res!$O$9)+K25)</f>
        <v/>
      </c>
      <c r="J25" s="83" t="str">
        <f>IF(F25="","",SUMIFS(tbLancamentos[Tempo indisponível],tbLancamentos[Equipamento],F25,tbLancamentos[Momento da falha],"&gt;="&amp;Res!$C$9,tbLancamentos[Momento da falha],"&lt;"&amp;Res!$O$9)+K25)</f>
        <v/>
      </c>
      <c r="K25" s="79">
        <v>9.9819999999999895E-5</v>
      </c>
      <c r="L25" s="71" t="str">
        <f>IF(F25="","",IFERROR(COUNTIFS(tbLancamentos[Equipamento],F25,tbLancamentos[Momento da falha],"&gt;"&amp;0,tbLancamentos[Momento do retorno],""),0))</f>
        <v/>
      </c>
    </row>
    <row r="26" spans="2:12" ht="20.100000000000001" customHeight="1" x14ac:dyDescent="0.25">
      <c r="B26" s="87">
        <v>20</v>
      </c>
      <c r="C26" s="88"/>
      <c r="D26" s="74"/>
      <c r="E26" s="74"/>
      <c r="F26" s="84" t="str">
        <f t="shared" si="0"/>
        <v/>
      </c>
      <c r="G26" s="89" t="str">
        <f>IF(F26="","",VLOOKUP($C26,CadSet!$C$7:$E$26,2,FALSE))</f>
        <v/>
      </c>
      <c r="H26" s="90" t="str">
        <f>IF(G26="","",VLOOKUP($C26,CadSet!$C$7:$E$26,3,FALSE))</f>
        <v/>
      </c>
      <c r="I26" s="91" t="str">
        <f>IF(F26="","",COUNTIFS(tbLancamentos[Equipamento],F26,tbLancamentos[Momento da falha],"&gt;="&amp;Res!$C$9,tbLancamentos[Momento da falha],"&lt;"&amp;Res!$O$9)+K26)</f>
        <v/>
      </c>
      <c r="J26" s="83" t="str">
        <f>IF(F26="","",SUMIFS(tbLancamentos[Tempo indisponível],tbLancamentos[Equipamento],F26,tbLancamentos[Momento da falha],"&gt;="&amp;Res!$C$9,tbLancamentos[Momento da falha],"&lt;"&amp;Res!$O$9)+K26)</f>
        <v/>
      </c>
      <c r="K26" s="79">
        <v>9.9809999999999805E-5</v>
      </c>
      <c r="L26" s="71" t="str">
        <f>IF(F26="","",IFERROR(COUNTIFS(tbLancamentos[Equipamento],F26,tbLancamentos[Momento da falha],"&gt;"&amp;0,tbLancamentos[Momento do retorno],""),0))</f>
        <v/>
      </c>
    </row>
    <row r="27" spans="2:12" ht="20.100000000000001" customHeight="1" x14ac:dyDescent="0.25">
      <c r="B27" s="87">
        <v>21</v>
      </c>
      <c r="C27" s="88"/>
      <c r="D27" s="74"/>
      <c r="E27" s="74"/>
      <c r="F27" s="84" t="str">
        <f t="shared" si="0"/>
        <v/>
      </c>
      <c r="G27" s="89" t="str">
        <f>IF(F27="","",VLOOKUP($C27,CadSet!$C$7:$E$26,2,FALSE))</f>
        <v/>
      </c>
      <c r="H27" s="90" t="str">
        <f>IF(G27="","",VLOOKUP($C27,CadSet!$C$7:$E$26,3,FALSE))</f>
        <v/>
      </c>
      <c r="I27" s="91" t="str">
        <f>IF(F27="","",COUNTIFS(tbLancamentos[Equipamento],F27,tbLancamentos[Momento da falha],"&gt;="&amp;Res!$C$9,tbLancamentos[Momento da falha],"&lt;"&amp;Res!$O$9)+K27)</f>
        <v/>
      </c>
      <c r="J27" s="83" t="str">
        <f>IF(F27="","",SUMIFS(tbLancamentos[Tempo indisponível],tbLancamentos[Equipamento],F27,tbLancamentos[Momento da falha],"&gt;="&amp;Res!$C$9,tbLancamentos[Momento da falha],"&lt;"&amp;Res!$O$9)+K27)</f>
        <v/>
      </c>
      <c r="K27" s="79">
        <v>9.9799999999999797E-5</v>
      </c>
      <c r="L27" s="71" t="str">
        <f>IF(F27="","",IFERROR(COUNTIFS(tbLancamentos[Equipamento],F27,tbLancamentos[Momento da falha],"&gt;"&amp;0,tbLancamentos[Momento do retorno],""),0))</f>
        <v/>
      </c>
    </row>
    <row r="28" spans="2:12" ht="20.100000000000001" customHeight="1" x14ac:dyDescent="0.25">
      <c r="B28" s="87">
        <v>22</v>
      </c>
      <c r="C28" s="88"/>
      <c r="D28" s="74"/>
      <c r="E28" s="74"/>
      <c r="F28" s="84" t="str">
        <f t="shared" si="0"/>
        <v/>
      </c>
      <c r="G28" s="89" t="str">
        <f>IF(F28="","",VLOOKUP($C28,CadSet!$C$7:$E$26,2,FALSE))</f>
        <v/>
      </c>
      <c r="H28" s="90" t="str">
        <f>IF(G28="","",VLOOKUP($C28,CadSet!$C$7:$E$26,3,FALSE))</f>
        <v/>
      </c>
      <c r="I28" s="91" t="str">
        <f>IF(F28="","",COUNTIFS(tbLancamentos[Equipamento],F28,tbLancamentos[Momento da falha],"&gt;="&amp;Res!$C$9,tbLancamentos[Momento da falha],"&lt;"&amp;Res!$O$9)+K28)</f>
        <v/>
      </c>
      <c r="J28" s="83" t="str">
        <f>IF(F28="","",SUMIFS(tbLancamentos[Tempo indisponível],tbLancamentos[Equipamento],F28,tbLancamentos[Momento da falha],"&gt;="&amp;Res!$C$9,tbLancamentos[Momento da falha],"&lt;"&amp;Res!$O$9)+K28)</f>
        <v/>
      </c>
      <c r="K28" s="79">
        <v>9.9789999999999802E-5</v>
      </c>
      <c r="L28" s="71" t="str">
        <f>IF(F28="","",IFERROR(COUNTIFS(tbLancamentos[Equipamento],F28,tbLancamentos[Momento da falha],"&gt;"&amp;0,tbLancamentos[Momento do retorno],""),0))</f>
        <v/>
      </c>
    </row>
    <row r="29" spans="2:12" ht="20.100000000000001" customHeight="1" x14ac:dyDescent="0.25">
      <c r="B29" s="87">
        <v>23</v>
      </c>
      <c r="C29" s="88"/>
      <c r="D29" s="74"/>
      <c r="E29" s="74"/>
      <c r="F29" s="84" t="str">
        <f t="shared" si="0"/>
        <v/>
      </c>
      <c r="G29" s="89" t="str">
        <f>IF(F29="","",VLOOKUP($C29,CadSet!$C$7:$E$26,2,FALSE))</f>
        <v/>
      </c>
      <c r="H29" s="90" t="str">
        <f>IF(G29="","",VLOOKUP($C29,CadSet!$C$7:$E$26,3,FALSE))</f>
        <v/>
      </c>
      <c r="I29" s="91" t="str">
        <f>IF(F29="","",COUNTIFS(tbLancamentos[Equipamento],F29,tbLancamentos[Momento da falha],"&gt;="&amp;Res!$C$9,tbLancamentos[Momento da falha],"&lt;"&amp;Res!$O$9)+K29)</f>
        <v/>
      </c>
      <c r="J29" s="83" t="str">
        <f>IF(F29="","",SUMIFS(tbLancamentos[Tempo indisponível],tbLancamentos[Equipamento],F29,tbLancamentos[Momento da falha],"&gt;="&amp;Res!$C$9,tbLancamentos[Momento da falha],"&lt;"&amp;Res!$O$9)+K29)</f>
        <v/>
      </c>
      <c r="K29" s="79">
        <v>9.9779999999999793E-5</v>
      </c>
      <c r="L29" s="71" t="str">
        <f>IF(F29="","",IFERROR(COUNTIFS(tbLancamentos[Equipamento],F29,tbLancamentos[Momento da falha],"&gt;"&amp;0,tbLancamentos[Momento do retorno],""),0))</f>
        <v/>
      </c>
    </row>
    <row r="30" spans="2:12" ht="20.100000000000001" customHeight="1" x14ac:dyDescent="0.25">
      <c r="B30" s="87">
        <v>24</v>
      </c>
      <c r="C30" s="88"/>
      <c r="D30" s="74"/>
      <c r="E30" s="74"/>
      <c r="F30" s="84" t="str">
        <f t="shared" si="0"/>
        <v/>
      </c>
      <c r="G30" s="89" t="str">
        <f>IF(F30="","",VLOOKUP($C30,CadSet!$C$7:$E$26,2,FALSE))</f>
        <v/>
      </c>
      <c r="H30" s="90" t="str">
        <f>IF(G30="","",VLOOKUP($C30,CadSet!$C$7:$E$26,3,FALSE))</f>
        <v/>
      </c>
      <c r="I30" s="91" t="str">
        <f>IF(F30="","",COUNTIFS(tbLancamentos[Equipamento],F30,tbLancamentos[Momento da falha],"&gt;="&amp;Res!$C$9,tbLancamentos[Momento da falha],"&lt;"&amp;Res!$O$9)+K30)</f>
        <v/>
      </c>
      <c r="J30" s="83" t="str">
        <f>IF(F30="","",SUMIFS(tbLancamentos[Tempo indisponível],tbLancamentos[Equipamento],F30,tbLancamentos[Momento da falha],"&gt;="&amp;Res!$C$9,tbLancamentos[Momento da falha],"&lt;"&amp;Res!$O$9)+K30)</f>
        <v/>
      </c>
      <c r="K30" s="79">
        <v>9.9769999999999799E-5</v>
      </c>
      <c r="L30" s="71" t="str">
        <f>IF(F30="","",IFERROR(COUNTIFS(tbLancamentos[Equipamento],F30,tbLancamentos[Momento da falha],"&gt;"&amp;0,tbLancamentos[Momento do retorno],""),0))</f>
        <v/>
      </c>
    </row>
    <row r="31" spans="2:12" ht="20.100000000000001" customHeight="1" x14ac:dyDescent="0.25">
      <c r="B31" s="87">
        <v>25</v>
      </c>
      <c r="C31" s="88"/>
      <c r="D31" s="74"/>
      <c r="E31" s="74"/>
      <c r="F31" s="84" t="str">
        <f t="shared" si="0"/>
        <v/>
      </c>
      <c r="G31" s="89" t="str">
        <f>IF(F31="","",VLOOKUP($C31,CadSet!$C$7:$E$26,2,FALSE))</f>
        <v/>
      </c>
      <c r="H31" s="90" t="str">
        <f>IF(G31="","",VLOOKUP($C31,CadSet!$C$7:$E$26,3,FALSE))</f>
        <v/>
      </c>
      <c r="I31" s="91" t="str">
        <f>IF(F31="","",COUNTIFS(tbLancamentos[Equipamento],F31,tbLancamentos[Momento da falha],"&gt;="&amp;Res!$C$9,tbLancamentos[Momento da falha],"&lt;"&amp;Res!$O$9)+K31)</f>
        <v/>
      </c>
      <c r="J31" s="83" t="str">
        <f>IF(F31="","",SUMIFS(tbLancamentos[Tempo indisponível],tbLancamentos[Equipamento],F31,tbLancamentos[Momento da falha],"&gt;="&amp;Res!$C$9,tbLancamentos[Momento da falha],"&lt;"&amp;Res!$O$9)+K31)</f>
        <v/>
      </c>
      <c r="K31" s="79">
        <v>9.9759999999999804E-5</v>
      </c>
      <c r="L31" s="71" t="str">
        <f>IF(F31="","",IFERROR(COUNTIFS(tbLancamentos[Equipamento],F31,tbLancamentos[Momento da falha],"&gt;"&amp;0,tbLancamentos[Momento do retorno],""),0))</f>
        <v/>
      </c>
    </row>
    <row r="32" spans="2:12" ht="20.100000000000001" customHeight="1" x14ac:dyDescent="0.25">
      <c r="B32" s="87">
        <v>26</v>
      </c>
      <c r="C32" s="88"/>
      <c r="D32" s="74"/>
      <c r="E32" s="74"/>
      <c r="F32" s="84" t="str">
        <f t="shared" si="0"/>
        <v/>
      </c>
      <c r="G32" s="89" t="str">
        <f>IF(F32="","",VLOOKUP($C32,CadSet!$C$7:$E$26,2,FALSE))</f>
        <v/>
      </c>
      <c r="H32" s="90" t="str">
        <f>IF(G32="","",VLOOKUP($C32,CadSet!$C$7:$E$26,3,FALSE))</f>
        <v/>
      </c>
      <c r="I32" s="91" t="str">
        <f>IF(F32="","",COUNTIFS(tbLancamentos[Equipamento],F32,tbLancamentos[Momento da falha],"&gt;="&amp;Res!$C$9,tbLancamentos[Momento da falha],"&lt;"&amp;Res!$O$9)+K32)</f>
        <v/>
      </c>
      <c r="J32" s="83" t="str">
        <f>IF(F32="","",SUMIFS(tbLancamentos[Tempo indisponível],tbLancamentos[Equipamento],F32,tbLancamentos[Momento da falha],"&gt;="&amp;Res!$C$9,tbLancamentos[Momento da falha],"&lt;"&amp;Res!$O$9)+K32)</f>
        <v/>
      </c>
      <c r="K32" s="79">
        <v>9.9749999999999795E-5</v>
      </c>
      <c r="L32" s="71" t="str">
        <f>IF(F32="","",IFERROR(COUNTIFS(tbLancamentos[Equipamento],F32,tbLancamentos[Momento da falha],"&gt;"&amp;0,tbLancamentos[Momento do retorno],""),0))</f>
        <v/>
      </c>
    </row>
    <row r="33" spans="2:12" ht="20.100000000000001" customHeight="1" x14ac:dyDescent="0.25">
      <c r="B33" s="87">
        <v>27</v>
      </c>
      <c r="C33" s="88"/>
      <c r="D33" s="74"/>
      <c r="E33" s="74"/>
      <c r="F33" s="84" t="str">
        <f t="shared" si="0"/>
        <v/>
      </c>
      <c r="G33" s="89" t="str">
        <f>IF(F33="","",VLOOKUP($C33,CadSet!$C$7:$E$26,2,FALSE))</f>
        <v/>
      </c>
      <c r="H33" s="90" t="str">
        <f>IF(G33="","",VLOOKUP($C33,CadSet!$C$7:$E$26,3,FALSE))</f>
        <v/>
      </c>
      <c r="I33" s="91" t="str">
        <f>IF(F33="","",COUNTIFS(tbLancamentos[Equipamento],F33,tbLancamentos[Momento da falha],"&gt;="&amp;Res!$C$9,tbLancamentos[Momento da falha],"&lt;"&amp;Res!$O$9)+K33)</f>
        <v/>
      </c>
      <c r="J33" s="83" t="str">
        <f>IF(F33="","",SUMIFS(tbLancamentos[Tempo indisponível],tbLancamentos[Equipamento],F33,tbLancamentos[Momento da falha],"&gt;="&amp;Res!$C$9,tbLancamentos[Momento da falha],"&lt;"&amp;Res!$O$9)+K33)</f>
        <v/>
      </c>
      <c r="K33" s="79">
        <v>9.9739999999999801E-5</v>
      </c>
      <c r="L33" s="71" t="str">
        <f>IF(F33="","",IFERROR(COUNTIFS(tbLancamentos[Equipamento],F33,tbLancamentos[Momento da falha],"&gt;"&amp;0,tbLancamentos[Momento do retorno],""),0))</f>
        <v/>
      </c>
    </row>
    <row r="34" spans="2:12" ht="20.100000000000001" customHeight="1" x14ac:dyDescent="0.25">
      <c r="B34" s="87">
        <v>28</v>
      </c>
      <c r="C34" s="88"/>
      <c r="D34" s="74"/>
      <c r="E34" s="74"/>
      <c r="F34" s="84" t="str">
        <f t="shared" si="0"/>
        <v/>
      </c>
      <c r="G34" s="89" t="str">
        <f>IF(F34="","",VLOOKUP($C34,CadSet!$C$7:$E$26,2,FALSE))</f>
        <v/>
      </c>
      <c r="H34" s="90" t="str">
        <f>IF(G34="","",VLOOKUP($C34,CadSet!$C$7:$E$26,3,FALSE))</f>
        <v/>
      </c>
      <c r="I34" s="91" t="str">
        <f>IF(F34="","",COUNTIFS(tbLancamentos[Equipamento],F34,tbLancamentos[Momento da falha],"&gt;="&amp;Res!$C$9,tbLancamentos[Momento da falha],"&lt;"&amp;Res!$O$9)+K34)</f>
        <v/>
      </c>
      <c r="J34" s="83" t="str">
        <f>IF(F34="","",SUMIFS(tbLancamentos[Tempo indisponível],tbLancamentos[Equipamento],F34,tbLancamentos[Momento da falha],"&gt;="&amp;Res!$C$9,tbLancamentos[Momento da falha],"&lt;"&amp;Res!$O$9)+K34)</f>
        <v/>
      </c>
      <c r="K34" s="79">
        <v>9.9729999999999806E-5</v>
      </c>
      <c r="L34" s="71" t="str">
        <f>IF(F34="","",IFERROR(COUNTIFS(tbLancamentos[Equipamento],F34,tbLancamentos[Momento da falha],"&gt;"&amp;0,tbLancamentos[Momento do retorno],""),0))</f>
        <v/>
      </c>
    </row>
    <row r="35" spans="2:12" ht="20.100000000000001" customHeight="1" x14ac:dyDescent="0.25">
      <c r="B35" s="87">
        <v>29</v>
      </c>
      <c r="C35" s="88"/>
      <c r="D35" s="74"/>
      <c r="E35" s="74"/>
      <c r="F35" s="84" t="str">
        <f t="shared" si="0"/>
        <v/>
      </c>
      <c r="G35" s="89" t="str">
        <f>IF(F35="","",VLOOKUP($C35,CadSet!$C$7:$E$26,2,FALSE))</f>
        <v/>
      </c>
      <c r="H35" s="90" t="str">
        <f>IF(G35="","",VLOOKUP($C35,CadSet!$C$7:$E$26,3,FALSE))</f>
        <v/>
      </c>
      <c r="I35" s="91" t="str">
        <f>IF(F35="","",COUNTIFS(tbLancamentos[Equipamento],F35,tbLancamentos[Momento da falha],"&gt;="&amp;Res!$C$9,tbLancamentos[Momento da falha],"&lt;"&amp;Res!$O$9)+K35)</f>
        <v/>
      </c>
      <c r="J35" s="83" t="str">
        <f>IF(F35="","",SUMIFS(tbLancamentos[Tempo indisponível],tbLancamentos[Equipamento],F35,tbLancamentos[Momento da falha],"&gt;="&amp;Res!$C$9,tbLancamentos[Momento da falha],"&lt;"&amp;Res!$O$9)+K35)</f>
        <v/>
      </c>
      <c r="K35" s="79">
        <v>9.9719999999999797E-5</v>
      </c>
      <c r="L35" s="71" t="str">
        <f>IF(F35="","",IFERROR(COUNTIFS(tbLancamentos[Equipamento],F35,tbLancamentos[Momento da falha],"&gt;"&amp;0,tbLancamentos[Momento do retorno],""),0))</f>
        <v/>
      </c>
    </row>
    <row r="36" spans="2:12" ht="20.100000000000001" customHeight="1" x14ac:dyDescent="0.25">
      <c r="B36" s="87">
        <v>30</v>
      </c>
      <c r="C36" s="88"/>
      <c r="D36" s="74"/>
      <c r="E36" s="74"/>
      <c r="F36" s="84" t="str">
        <f t="shared" si="0"/>
        <v/>
      </c>
      <c r="G36" s="89" t="str">
        <f>IF(F36="","",VLOOKUP($C36,CadSet!$C$7:$E$26,2,FALSE))</f>
        <v/>
      </c>
      <c r="H36" s="90" t="str">
        <f>IF(G36="","",VLOOKUP($C36,CadSet!$C$7:$E$26,3,FALSE))</f>
        <v/>
      </c>
      <c r="I36" s="91" t="str">
        <f>IF(F36="","",COUNTIFS(tbLancamentos[Equipamento],F36,tbLancamentos[Momento da falha],"&gt;="&amp;Res!$C$9,tbLancamentos[Momento da falha],"&lt;"&amp;Res!$O$9)+K36)</f>
        <v/>
      </c>
      <c r="J36" s="83" t="str">
        <f>IF(F36="","",SUMIFS(tbLancamentos[Tempo indisponível],tbLancamentos[Equipamento],F36,tbLancamentos[Momento da falha],"&gt;="&amp;Res!$C$9,tbLancamentos[Momento da falha],"&lt;"&amp;Res!$O$9)+K36)</f>
        <v/>
      </c>
      <c r="K36" s="79">
        <v>9.9709999999999803E-5</v>
      </c>
      <c r="L36" s="71" t="str">
        <f>IF(F36="","",IFERROR(COUNTIFS(tbLancamentos[Equipamento],F36,tbLancamentos[Momento da falha],"&gt;"&amp;0,tbLancamentos[Momento do retorno],""),0))</f>
        <v/>
      </c>
    </row>
    <row r="37" spans="2:12" ht="20.100000000000001" customHeight="1" x14ac:dyDescent="0.25">
      <c r="B37" s="87">
        <v>31</v>
      </c>
      <c r="C37" s="88"/>
      <c r="D37" s="74"/>
      <c r="E37" s="74"/>
      <c r="F37" s="84" t="str">
        <f t="shared" si="0"/>
        <v/>
      </c>
      <c r="G37" s="89" t="str">
        <f>IF(F37="","",VLOOKUP($C37,CadSet!$C$7:$E$26,2,FALSE))</f>
        <v/>
      </c>
      <c r="H37" s="90" t="str">
        <f>IF(G37="","",VLOOKUP($C37,CadSet!$C$7:$E$26,3,FALSE))</f>
        <v/>
      </c>
      <c r="I37" s="91" t="str">
        <f>IF(F37="","",COUNTIFS(tbLancamentos[Equipamento],F37,tbLancamentos[Momento da falha],"&gt;="&amp;Res!$C$9,tbLancamentos[Momento da falha],"&lt;"&amp;Res!$O$9)+K37)</f>
        <v/>
      </c>
      <c r="J37" s="83" t="str">
        <f>IF(F37="","",SUMIFS(tbLancamentos[Tempo indisponível],tbLancamentos[Equipamento],F37,tbLancamentos[Momento da falha],"&gt;="&amp;Res!$C$9,tbLancamentos[Momento da falha],"&lt;"&amp;Res!$O$9)+K37)</f>
        <v/>
      </c>
      <c r="K37" s="79">
        <v>9.9699999999999794E-5</v>
      </c>
      <c r="L37" s="71" t="str">
        <f>IF(F37="","",IFERROR(COUNTIFS(tbLancamentos[Equipamento],F37,tbLancamentos[Momento da falha],"&gt;"&amp;0,tbLancamentos[Momento do retorno],""),0))</f>
        <v/>
      </c>
    </row>
    <row r="38" spans="2:12" ht="20.100000000000001" customHeight="1" x14ac:dyDescent="0.25">
      <c r="B38" s="87">
        <v>32</v>
      </c>
      <c r="C38" s="88"/>
      <c r="D38" s="74"/>
      <c r="E38" s="74"/>
      <c r="F38" s="84" t="str">
        <f t="shared" si="0"/>
        <v/>
      </c>
      <c r="G38" s="89" t="str">
        <f>IF(F38="","",VLOOKUP($C38,CadSet!$C$7:$E$26,2,FALSE))</f>
        <v/>
      </c>
      <c r="H38" s="90" t="str">
        <f>IF(G38="","",VLOOKUP($C38,CadSet!$C$7:$E$26,3,FALSE))</f>
        <v/>
      </c>
      <c r="I38" s="91" t="str">
        <f>IF(F38="","",COUNTIFS(tbLancamentos[Equipamento],F38,tbLancamentos[Momento da falha],"&gt;="&amp;Res!$C$9,tbLancamentos[Momento da falha],"&lt;"&amp;Res!$O$9)+K38)</f>
        <v/>
      </c>
      <c r="J38" s="83" t="str">
        <f>IF(F38="","",SUMIFS(tbLancamentos[Tempo indisponível],tbLancamentos[Equipamento],F38,tbLancamentos[Momento da falha],"&gt;="&amp;Res!$C$9,tbLancamentos[Momento da falha],"&lt;"&amp;Res!$O$9)+K38)</f>
        <v/>
      </c>
      <c r="K38" s="79">
        <v>9.9689999999999705E-5</v>
      </c>
      <c r="L38" s="71" t="str">
        <f>IF(F38="","",IFERROR(COUNTIFS(tbLancamentos[Equipamento],F38,tbLancamentos[Momento da falha],"&gt;"&amp;0,tbLancamentos[Momento do retorno],""),0))</f>
        <v/>
      </c>
    </row>
    <row r="39" spans="2:12" ht="20.100000000000001" customHeight="1" x14ac:dyDescent="0.25">
      <c r="B39" s="87">
        <v>33</v>
      </c>
      <c r="C39" s="88"/>
      <c r="D39" s="74"/>
      <c r="E39" s="74"/>
      <c r="F39" s="84" t="str">
        <f t="shared" si="0"/>
        <v/>
      </c>
      <c r="G39" s="89" t="str">
        <f>IF(F39="","",VLOOKUP($C39,CadSet!$C$7:$E$26,2,FALSE))</f>
        <v/>
      </c>
      <c r="H39" s="90" t="str">
        <f>IF(G39="","",VLOOKUP($C39,CadSet!$C$7:$E$26,3,FALSE))</f>
        <v/>
      </c>
      <c r="I39" s="91" t="str">
        <f>IF(F39="","",COUNTIFS(tbLancamentos[Equipamento],F39,tbLancamentos[Momento da falha],"&gt;="&amp;Res!$C$9,tbLancamentos[Momento da falha],"&lt;"&amp;Res!$O$9)+K39)</f>
        <v/>
      </c>
      <c r="J39" s="83" t="str">
        <f>IF(F39="","",SUMIFS(tbLancamentos[Tempo indisponível],tbLancamentos[Equipamento],F39,tbLancamentos[Momento da falha],"&gt;="&amp;Res!$C$9,tbLancamentos[Momento da falha],"&lt;"&amp;Res!$O$9)+K39)</f>
        <v/>
      </c>
      <c r="K39" s="79">
        <v>9.9679999999999696E-5</v>
      </c>
      <c r="L39" s="71" t="str">
        <f>IF(F39="","",IFERROR(COUNTIFS(tbLancamentos[Equipamento],F39,tbLancamentos[Momento da falha],"&gt;"&amp;0,tbLancamentos[Momento do retorno],""),0))</f>
        <v/>
      </c>
    </row>
    <row r="40" spans="2:12" ht="20.100000000000001" customHeight="1" x14ac:dyDescent="0.25">
      <c r="B40" s="87">
        <v>34</v>
      </c>
      <c r="C40" s="88"/>
      <c r="D40" s="74"/>
      <c r="E40" s="74"/>
      <c r="F40" s="84" t="str">
        <f t="shared" si="0"/>
        <v/>
      </c>
      <c r="G40" s="89" t="str">
        <f>IF(F40="","",VLOOKUP($C40,CadSet!$C$7:$E$26,2,FALSE))</f>
        <v/>
      </c>
      <c r="H40" s="90" t="str">
        <f>IF(G40="","",VLOOKUP($C40,CadSet!$C$7:$E$26,3,FALSE))</f>
        <v/>
      </c>
      <c r="I40" s="91" t="str">
        <f>IF(F40="","",COUNTIFS(tbLancamentos[Equipamento],F40,tbLancamentos[Momento da falha],"&gt;="&amp;Res!$C$9,tbLancamentos[Momento da falha],"&lt;"&amp;Res!$O$9)+K40)</f>
        <v/>
      </c>
      <c r="J40" s="83" t="str">
        <f>IF(F40="","",SUMIFS(tbLancamentos[Tempo indisponível],tbLancamentos[Equipamento],F40,tbLancamentos[Momento da falha],"&gt;="&amp;Res!$C$9,tbLancamentos[Momento da falha],"&lt;"&amp;Res!$O$9)+K40)</f>
        <v/>
      </c>
      <c r="K40" s="79">
        <v>9.9669999999999701E-5</v>
      </c>
      <c r="L40" s="71" t="str">
        <f>IF(F40="","",IFERROR(COUNTIFS(tbLancamentos[Equipamento],F40,tbLancamentos[Momento da falha],"&gt;"&amp;0,tbLancamentos[Momento do retorno],""),0))</f>
        <v/>
      </c>
    </row>
    <row r="41" spans="2:12" ht="20.100000000000001" customHeight="1" x14ac:dyDescent="0.25">
      <c r="B41" s="87">
        <v>35</v>
      </c>
      <c r="C41" s="88"/>
      <c r="D41" s="74"/>
      <c r="E41" s="74"/>
      <c r="F41" s="84" t="str">
        <f t="shared" si="0"/>
        <v/>
      </c>
      <c r="G41" s="89" t="str">
        <f>IF(F41="","",VLOOKUP($C41,CadSet!$C$7:$E$26,2,FALSE))</f>
        <v/>
      </c>
      <c r="H41" s="90" t="str">
        <f>IF(G41="","",VLOOKUP($C41,CadSet!$C$7:$E$26,3,FALSE))</f>
        <v/>
      </c>
      <c r="I41" s="91" t="str">
        <f>IF(F41="","",COUNTIFS(tbLancamentos[Equipamento],F41,tbLancamentos[Momento da falha],"&gt;="&amp;Res!$C$9,tbLancamentos[Momento da falha],"&lt;"&amp;Res!$O$9)+K41)</f>
        <v/>
      </c>
      <c r="J41" s="83" t="str">
        <f>IF(F41="","",SUMIFS(tbLancamentos[Tempo indisponível],tbLancamentos[Equipamento],F41,tbLancamentos[Momento da falha],"&gt;="&amp;Res!$C$9,tbLancamentos[Momento da falha],"&lt;"&amp;Res!$O$9)+K41)</f>
        <v/>
      </c>
      <c r="K41" s="79">
        <v>9.9659999999999707E-5</v>
      </c>
      <c r="L41" s="71" t="str">
        <f>IF(F41="","",IFERROR(COUNTIFS(tbLancamentos[Equipamento],F41,tbLancamentos[Momento da falha],"&gt;"&amp;0,tbLancamentos[Momento do retorno],""),0))</f>
        <v/>
      </c>
    </row>
    <row r="42" spans="2:12" ht="20.100000000000001" customHeight="1" x14ac:dyDescent="0.25">
      <c r="B42" s="87">
        <v>36</v>
      </c>
      <c r="C42" s="88"/>
      <c r="D42" s="74"/>
      <c r="E42" s="74"/>
      <c r="F42" s="84" t="str">
        <f t="shared" si="0"/>
        <v/>
      </c>
      <c r="G42" s="89" t="str">
        <f>IF(F42="","",VLOOKUP($C42,CadSet!$C$7:$E$26,2,FALSE))</f>
        <v/>
      </c>
      <c r="H42" s="90" t="str">
        <f>IF(G42="","",VLOOKUP($C42,CadSet!$C$7:$E$26,3,FALSE))</f>
        <v/>
      </c>
      <c r="I42" s="91" t="str">
        <f>IF(F42="","",COUNTIFS(tbLancamentos[Equipamento],F42,tbLancamentos[Momento da falha],"&gt;="&amp;Res!$C$9,tbLancamentos[Momento da falha],"&lt;"&amp;Res!$O$9)+K42)</f>
        <v/>
      </c>
      <c r="J42" s="83" t="str">
        <f>IF(F42="","",SUMIFS(tbLancamentos[Tempo indisponível],tbLancamentos[Equipamento],F42,tbLancamentos[Momento da falha],"&gt;="&amp;Res!$C$9,tbLancamentos[Momento da falha],"&lt;"&amp;Res!$O$9)+K42)</f>
        <v/>
      </c>
      <c r="K42" s="79">
        <v>9.9649999999999698E-5</v>
      </c>
      <c r="L42" s="71" t="str">
        <f>IF(F42="","",IFERROR(COUNTIFS(tbLancamentos[Equipamento],F42,tbLancamentos[Momento da falha],"&gt;"&amp;0,tbLancamentos[Momento do retorno],""),0))</f>
        <v/>
      </c>
    </row>
    <row r="43" spans="2:12" ht="20.100000000000001" customHeight="1" x14ac:dyDescent="0.25">
      <c r="B43" s="87">
        <v>37</v>
      </c>
      <c r="C43" s="88"/>
      <c r="D43" s="74"/>
      <c r="E43" s="74"/>
      <c r="F43" s="84" t="str">
        <f t="shared" si="0"/>
        <v/>
      </c>
      <c r="G43" s="89" t="str">
        <f>IF(F43="","",VLOOKUP($C43,CadSet!$C$7:$E$26,2,FALSE))</f>
        <v/>
      </c>
      <c r="H43" s="90" t="str">
        <f>IF(G43="","",VLOOKUP($C43,CadSet!$C$7:$E$26,3,FALSE))</f>
        <v/>
      </c>
      <c r="I43" s="91" t="str">
        <f>IF(F43="","",COUNTIFS(tbLancamentos[Equipamento],F43,tbLancamentos[Momento da falha],"&gt;="&amp;Res!$C$9,tbLancamentos[Momento da falha],"&lt;"&amp;Res!$O$9)+K43)</f>
        <v/>
      </c>
      <c r="J43" s="83" t="str">
        <f>IF(F43="","",SUMIFS(tbLancamentos[Tempo indisponível],tbLancamentos[Equipamento],F43,tbLancamentos[Momento da falha],"&gt;="&amp;Res!$C$9,tbLancamentos[Momento da falha],"&lt;"&amp;Res!$O$9)+K43)</f>
        <v/>
      </c>
      <c r="K43" s="79">
        <v>9.9639999999999703E-5</v>
      </c>
      <c r="L43" s="71" t="str">
        <f>IF(F43="","",IFERROR(COUNTIFS(tbLancamentos[Equipamento],F43,tbLancamentos[Momento da falha],"&gt;"&amp;0,tbLancamentos[Momento do retorno],""),0))</f>
        <v/>
      </c>
    </row>
    <row r="44" spans="2:12" ht="20.100000000000001" customHeight="1" x14ac:dyDescent="0.25">
      <c r="B44" s="87">
        <v>38</v>
      </c>
      <c r="C44" s="88"/>
      <c r="D44" s="74"/>
      <c r="E44" s="74"/>
      <c r="F44" s="84" t="str">
        <f t="shared" si="0"/>
        <v/>
      </c>
      <c r="G44" s="89" t="str">
        <f>IF(F44="","",VLOOKUP($C44,CadSet!$C$7:$E$26,2,FALSE))</f>
        <v/>
      </c>
      <c r="H44" s="90" t="str">
        <f>IF(G44="","",VLOOKUP($C44,CadSet!$C$7:$E$26,3,FALSE))</f>
        <v/>
      </c>
      <c r="I44" s="91" t="str">
        <f>IF(F44="","",COUNTIFS(tbLancamentos[Equipamento],F44,tbLancamentos[Momento da falha],"&gt;="&amp;Res!$C$9,tbLancamentos[Momento da falha],"&lt;"&amp;Res!$O$9)+K44)</f>
        <v/>
      </c>
      <c r="J44" s="83" t="str">
        <f>IF(F44="","",SUMIFS(tbLancamentos[Tempo indisponível],tbLancamentos[Equipamento],F44,tbLancamentos[Momento da falha],"&gt;="&amp;Res!$C$9,tbLancamentos[Momento da falha],"&lt;"&amp;Res!$O$9)+K44)</f>
        <v/>
      </c>
      <c r="K44" s="79">
        <v>9.9629999999999695E-5</v>
      </c>
      <c r="L44" s="71" t="str">
        <f>IF(F44="","",IFERROR(COUNTIFS(tbLancamentos[Equipamento],F44,tbLancamentos[Momento da falha],"&gt;"&amp;0,tbLancamentos[Momento do retorno],""),0))</f>
        <v/>
      </c>
    </row>
    <row r="45" spans="2:12" ht="20.100000000000001" customHeight="1" x14ac:dyDescent="0.25">
      <c r="B45" s="87">
        <v>39</v>
      </c>
      <c r="C45" s="88"/>
      <c r="D45" s="74"/>
      <c r="E45" s="74"/>
      <c r="F45" s="84" t="str">
        <f t="shared" si="0"/>
        <v/>
      </c>
      <c r="G45" s="89" t="str">
        <f>IF(F45="","",VLOOKUP($C45,CadSet!$C$7:$E$26,2,FALSE))</f>
        <v/>
      </c>
      <c r="H45" s="90" t="str">
        <f>IF(G45="","",VLOOKUP($C45,CadSet!$C$7:$E$26,3,FALSE))</f>
        <v/>
      </c>
      <c r="I45" s="91" t="str">
        <f>IF(F45="","",COUNTIFS(tbLancamentos[Equipamento],F45,tbLancamentos[Momento da falha],"&gt;="&amp;Res!$C$9,tbLancamentos[Momento da falha],"&lt;"&amp;Res!$O$9)+K45)</f>
        <v/>
      </c>
      <c r="J45" s="83" t="str">
        <f>IF(F45="","",SUMIFS(tbLancamentos[Tempo indisponível],tbLancamentos[Equipamento],F45,tbLancamentos[Momento da falha],"&gt;="&amp;Res!$C$9,tbLancamentos[Momento da falha],"&lt;"&amp;Res!$O$9)+K45)</f>
        <v/>
      </c>
      <c r="K45" s="79">
        <v>9.96199999999997E-5</v>
      </c>
      <c r="L45" s="71" t="str">
        <f>IF(F45="","",IFERROR(COUNTIFS(tbLancamentos[Equipamento],F45,tbLancamentos[Momento da falha],"&gt;"&amp;0,tbLancamentos[Momento do retorno],""),0))</f>
        <v/>
      </c>
    </row>
    <row r="46" spans="2:12" ht="20.100000000000001" customHeight="1" x14ac:dyDescent="0.25">
      <c r="B46" s="87">
        <v>40</v>
      </c>
      <c r="C46" s="88"/>
      <c r="D46" s="74"/>
      <c r="E46" s="74"/>
      <c r="F46" s="84" t="str">
        <f t="shared" si="0"/>
        <v/>
      </c>
      <c r="G46" s="89" t="str">
        <f>IF(F46="","",VLOOKUP($C46,CadSet!$C$7:$E$26,2,FALSE))</f>
        <v/>
      </c>
      <c r="H46" s="90" t="str">
        <f>IF(G46="","",VLOOKUP($C46,CadSet!$C$7:$E$26,3,FALSE))</f>
        <v/>
      </c>
      <c r="I46" s="91" t="str">
        <f>IF(F46="","",COUNTIFS(tbLancamentos[Equipamento],F46,tbLancamentos[Momento da falha],"&gt;="&amp;Res!$C$9,tbLancamentos[Momento da falha],"&lt;"&amp;Res!$O$9)+K46)</f>
        <v/>
      </c>
      <c r="J46" s="83" t="str">
        <f>IF(F46="","",SUMIFS(tbLancamentos[Tempo indisponível],tbLancamentos[Equipamento],F46,tbLancamentos[Momento da falha],"&gt;="&amp;Res!$C$9,tbLancamentos[Momento da falha],"&lt;"&amp;Res!$O$9)+K46)</f>
        <v/>
      </c>
      <c r="K46" s="79">
        <v>9.9609999999999705E-5</v>
      </c>
      <c r="L46" s="71" t="str">
        <f>IF(F46="","",IFERROR(COUNTIFS(tbLancamentos[Equipamento],F46,tbLancamentos[Momento da falha],"&gt;"&amp;0,tbLancamentos[Momento do retorno],""),0))</f>
        <v/>
      </c>
    </row>
    <row r="47" spans="2:12" ht="20.100000000000001" customHeight="1" x14ac:dyDescent="0.25">
      <c r="B47" s="87">
        <v>41</v>
      </c>
      <c r="C47" s="88"/>
      <c r="D47" s="74"/>
      <c r="E47" s="74"/>
      <c r="F47" s="84" t="str">
        <f t="shared" si="0"/>
        <v/>
      </c>
      <c r="G47" s="89" t="str">
        <f>IF(F47="","",VLOOKUP($C47,CadSet!$C$7:$E$26,2,FALSE))</f>
        <v/>
      </c>
      <c r="H47" s="90" t="str">
        <f>IF(G47="","",VLOOKUP($C47,CadSet!$C$7:$E$26,3,FALSE))</f>
        <v/>
      </c>
      <c r="I47" s="91" t="str">
        <f>IF(F47="","",COUNTIFS(tbLancamentos[Equipamento],F47,tbLancamentos[Momento da falha],"&gt;="&amp;Res!$C$9,tbLancamentos[Momento da falha],"&lt;"&amp;Res!$O$9)+K47)</f>
        <v/>
      </c>
      <c r="J47" s="83" t="str">
        <f>IF(F47="","",SUMIFS(tbLancamentos[Tempo indisponível],tbLancamentos[Equipamento],F47,tbLancamentos[Momento da falha],"&gt;="&amp;Res!$C$9,tbLancamentos[Momento da falha],"&lt;"&amp;Res!$O$9)+K47)</f>
        <v/>
      </c>
      <c r="K47" s="79">
        <v>9.9599999999999697E-5</v>
      </c>
      <c r="L47" s="71" t="str">
        <f>IF(F47="","",IFERROR(COUNTIFS(tbLancamentos[Equipamento],F47,tbLancamentos[Momento da falha],"&gt;"&amp;0,tbLancamentos[Momento do retorno],""),0))</f>
        <v/>
      </c>
    </row>
    <row r="48" spans="2:12" ht="20.100000000000001" customHeight="1" x14ac:dyDescent="0.25">
      <c r="B48" s="87">
        <v>42</v>
      </c>
      <c r="C48" s="88"/>
      <c r="D48" s="74"/>
      <c r="E48" s="74"/>
      <c r="F48" s="84" t="str">
        <f t="shared" si="0"/>
        <v/>
      </c>
      <c r="G48" s="89" t="str">
        <f>IF(F48="","",VLOOKUP($C48,CadSet!$C$7:$E$26,2,FALSE))</f>
        <v/>
      </c>
      <c r="H48" s="90" t="str">
        <f>IF(G48="","",VLOOKUP($C48,CadSet!$C$7:$E$26,3,FALSE))</f>
        <v/>
      </c>
      <c r="I48" s="91" t="str">
        <f>IF(F48="","",COUNTIFS(tbLancamentos[Equipamento],F48,tbLancamentos[Momento da falha],"&gt;="&amp;Res!$C$9,tbLancamentos[Momento da falha],"&lt;"&amp;Res!$O$9)+K48)</f>
        <v/>
      </c>
      <c r="J48" s="83" t="str">
        <f>IF(F48="","",SUMIFS(tbLancamentos[Tempo indisponível],tbLancamentos[Equipamento],F48,tbLancamentos[Momento da falha],"&gt;="&amp;Res!$C$9,tbLancamentos[Momento da falha],"&lt;"&amp;Res!$O$9)+K48)</f>
        <v/>
      </c>
      <c r="K48" s="79">
        <v>9.9589999999999702E-5</v>
      </c>
      <c r="L48" s="71" t="str">
        <f>IF(F48="","",IFERROR(COUNTIFS(tbLancamentos[Equipamento],F48,tbLancamentos[Momento da falha],"&gt;"&amp;0,tbLancamentos[Momento do retorno],""),0))</f>
        <v/>
      </c>
    </row>
    <row r="49" spans="2:12" ht="20.100000000000001" customHeight="1" x14ac:dyDescent="0.25">
      <c r="B49" s="87">
        <v>43</v>
      </c>
      <c r="C49" s="88"/>
      <c r="D49" s="74"/>
      <c r="E49" s="74"/>
      <c r="F49" s="84" t="str">
        <f t="shared" si="0"/>
        <v/>
      </c>
      <c r="G49" s="89" t="str">
        <f>IF(F49="","",VLOOKUP($C49,CadSet!$C$7:$E$26,2,FALSE))</f>
        <v/>
      </c>
      <c r="H49" s="90" t="str">
        <f>IF(G49="","",VLOOKUP($C49,CadSet!$C$7:$E$26,3,FALSE))</f>
        <v/>
      </c>
      <c r="I49" s="91" t="str">
        <f>IF(F49="","",COUNTIFS(tbLancamentos[Equipamento],F49,tbLancamentos[Momento da falha],"&gt;="&amp;Res!$C$9,tbLancamentos[Momento da falha],"&lt;"&amp;Res!$O$9)+K49)</f>
        <v/>
      </c>
      <c r="J49" s="83" t="str">
        <f>IF(F49="","",SUMIFS(tbLancamentos[Tempo indisponível],tbLancamentos[Equipamento],F49,tbLancamentos[Momento da falha],"&gt;="&amp;Res!$C$9,tbLancamentos[Momento da falha],"&lt;"&amp;Res!$O$9)+K49)</f>
        <v/>
      </c>
      <c r="K49" s="79">
        <v>9.9579999999999694E-5</v>
      </c>
      <c r="L49" s="71" t="str">
        <f>IF(F49="","",IFERROR(COUNTIFS(tbLancamentos[Equipamento],F49,tbLancamentos[Momento da falha],"&gt;"&amp;0,tbLancamentos[Momento do retorno],""),0))</f>
        <v/>
      </c>
    </row>
    <row r="50" spans="2:12" ht="20.100000000000001" customHeight="1" x14ac:dyDescent="0.25">
      <c r="B50" s="87">
        <v>44</v>
      </c>
      <c r="C50" s="88"/>
      <c r="D50" s="74"/>
      <c r="E50" s="74"/>
      <c r="F50" s="84" t="str">
        <f t="shared" si="0"/>
        <v/>
      </c>
      <c r="G50" s="89" t="str">
        <f>IF(F50="","",VLOOKUP($C50,CadSet!$C$7:$E$26,2,FALSE))</f>
        <v/>
      </c>
      <c r="H50" s="90" t="str">
        <f>IF(G50="","",VLOOKUP($C50,CadSet!$C$7:$E$26,3,FALSE))</f>
        <v/>
      </c>
      <c r="I50" s="91" t="str">
        <f>IF(F50="","",COUNTIFS(tbLancamentos[Equipamento],F50,tbLancamentos[Momento da falha],"&gt;="&amp;Res!$C$9,tbLancamentos[Momento da falha],"&lt;"&amp;Res!$O$9)+K50)</f>
        <v/>
      </c>
      <c r="J50" s="83" t="str">
        <f>IF(F50="","",SUMIFS(tbLancamentos[Tempo indisponível],tbLancamentos[Equipamento],F50,tbLancamentos[Momento da falha],"&gt;="&amp;Res!$C$9,tbLancamentos[Momento da falha],"&lt;"&amp;Res!$O$9)+K50)</f>
        <v/>
      </c>
      <c r="K50" s="79">
        <v>9.9569999999999604E-5</v>
      </c>
      <c r="L50" s="71" t="str">
        <f>IF(F50="","",IFERROR(COUNTIFS(tbLancamentos[Equipamento],F50,tbLancamentos[Momento da falha],"&gt;"&amp;0,tbLancamentos[Momento do retorno],""),0))</f>
        <v/>
      </c>
    </row>
    <row r="51" spans="2:12" ht="20.100000000000001" customHeight="1" x14ac:dyDescent="0.25">
      <c r="B51" s="87">
        <v>45</v>
      </c>
      <c r="C51" s="88"/>
      <c r="D51" s="74"/>
      <c r="E51" s="74"/>
      <c r="F51" s="84" t="str">
        <f t="shared" si="0"/>
        <v/>
      </c>
      <c r="G51" s="89" t="str">
        <f>IF(F51="","",VLOOKUP($C51,CadSet!$C$7:$E$26,2,FALSE))</f>
        <v/>
      </c>
      <c r="H51" s="90" t="str">
        <f>IF(G51="","",VLOOKUP($C51,CadSet!$C$7:$E$26,3,FALSE))</f>
        <v/>
      </c>
      <c r="I51" s="91" t="str">
        <f>IF(F51="","",COUNTIFS(tbLancamentos[Equipamento],F51,tbLancamentos[Momento da falha],"&gt;="&amp;Res!$C$9,tbLancamentos[Momento da falha],"&lt;"&amp;Res!$O$9)+K51)</f>
        <v/>
      </c>
      <c r="J51" s="83" t="str">
        <f>IF(F51="","",SUMIFS(tbLancamentos[Tempo indisponível],tbLancamentos[Equipamento],F51,tbLancamentos[Momento da falha],"&gt;="&amp;Res!$C$9,tbLancamentos[Momento da falha],"&lt;"&amp;Res!$O$9)+K51)</f>
        <v/>
      </c>
      <c r="K51" s="79">
        <v>9.9559999999999596E-5</v>
      </c>
      <c r="L51" s="71" t="str">
        <f>IF(F51="","",IFERROR(COUNTIFS(tbLancamentos[Equipamento],F51,tbLancamentos[Momento da falha],"&gt;"&amp;0,tbLancamentos[Momento do retorno],""),0))</f>
        <v/>
      </c>
    </row>
    <row r="52" spans="2:12" ht="20.100000000000001" customHeight="1" x14ac:dyDescent="0.25">
      <c r="B52" s="87">
        <v>46</v>
      </c>
      <c r="C52" s="88"/>
      <c r="D52" s="74"/>
      <c r="E52" s="74"/>
      <c r="F52" s="84" t="str">
        <f t="shared" si="0"/>
        <v/>
      </c>
      <c r="G52" s="89" t="str">
        <f>IF(F52="","",VLOOKUP($C52,CadSet!$C$7:$E$26,2,FALSE))</f>
        <v/>
      </c>
      <c r="H52" s="90" t="str">
        <f>IF(G52="","",VLOOKUP($C52,CadSet!$C$7:$E$26,3,FALSE))</f>
        <v/>
      </c>
      <c r="I52" s="91" t="str">
        <f>IF(F52="","",COUNTIFS(tbLancamentos[Equipamento],F52,tbLancamentos[Momento da falha],"&gt;="&amp;Res!$C$9,tbLancamentos[Momento da falha],"&lt;"&amp;Res!$O$9)+K52)</f>
        <v/>
      </c>
      <c r="J52" s="83" t="str">
        <f>IF(F52="","",SUMIFS(tbLancamentos[Tempo indisponível],tbLancamentos[Equipamento],F52,tbLancamentos[Momento da falha],"&gt;="&amp;Res!$C$9,tbLancamentos[Momento da falha],"&lt;"&amp;Res!$O$9)+K52)</f>
        <v/>
      </c>
      <c r="K52" s="79">
        <v>9.9549999999999601E-5</v>
      </c>
      <c r="L52" s="71" t="str">
        <f>IF(F52="","",IFERROR(COUNTIFS(tbLancamentos[Equipamento],F52,tbLancamentos[Momento da falha],"&gt;"&amp;0,tbLancamentos[Momento do retorno],""),0))</f>
        <v/>
      </c>
    </row>
    <row r="53" spans="2:12" ht="20.100000000000001" customHeight="1" x14ac:dyDescent="0.25">
      <c r="B53" s="87">
        <v>47</v>
      </c>
      <c r="C53" s="88"/>
      <c r="D53" s="74"/>
      <c r="E53" s="74"/>
      <c r="F53" s="84" t="str">
        <f t="shared" si="0"/>
        <v/>
      </c>
      <c r="G53" s="89" t="str">
        <f>IF(F53="","",VLOOKUP($C53,CadSet!$C$7:$E$26,2,FALSE))</f>
        <v/>
      </c>
      <c r="H53" s="90" t="str">
        <f>IF(G53="","",VLOOKUP($C53,CadSet!$C$7:$E$26,3,FALSE))</f>
        <v/>
      </c>
      <c r="I53" s="91" t="str">
        <f>IF(F53="","",COUNTIFS(tbLancamentos[Equipamento],F53,tbLancamentos[Momento da falha],"&gt;="&amp;Res!$C$9,tbLancamentos[Momento da falha],"&lt;"&amp;Res!$O$9)+K53)</f>
        <v/>
      </c>
      <c r="J53" s="83" t="str">
        <f>IF(F53="","",SUMIFS(tbLancamentos[Tempo indisponível],tbLancamentos[Equipamento],F53,tbLancamentos[Momento da falha],"&gt;="&amp;Res!$C$9,tbLancamentos[Momento da falha],"&lt;"&amp;Res!$O$9)+K53)</f>
        <v/>
      </c>
      <c r="K53" s="79">
        <v>9.9539999999999606E-5</v>
      </c>
      <c r="L53" s="71" t="str">
        <f>IF(F53="","",IFERROR(COUNTIFS(tbLancamentos[Equipamento],F53,tbLancamentos[Momento da falha],"&gt;"&amp;0,tbLancamentos[Momento do retorno],""),0))</f>
        <v/>
      </c>
    </row>
    <row r="54" spans="2:12" ht="20.100000000000001" customHeight="1" x14ac:dyDescent="0.25">
      <c r="B54" s="87">
        <v>48</v>
      </c>
      <c r="C54" s="88"/>
      <c r="D54" s="74"/>
      <c r="E54" s="74"/>
      <c r="F54" s="84" t="str">
        <f t="shared" si="0"/>
        <v/>
      </c>
      <c r="G54" s="89" t="str">
        <f>IF(F54="","",VLOOKUP($C54,CadSet!$C$7:$E$26,2,FALSE))</f>
        <v/>
      </c>
      <c r="H54" s="90" t="str">
        <f>IF(G54="","",VLOOKUP($C54,CadSet!$C$7:$E$26,3,FALSE))</f>
        <v/>
      </c>
      <c r="I54" s="91" t="str">
        <f>IF(F54="","",COUNTIFS(tbLancamentos[Equipamento],F54,tbLancamentos[Momento da falha],"&gt;="&amp;Res!$C$9,tbLancamentos[Momento da falha],"&lt;"&amp;Res!$O$9)+K54)</f>
        <v/>
      </c>
      <c r="J54" s="83" t="str">
        <f>IF(F54="","",SUMIFS(tbLancamentos[Tempo indisponível],tbLancamentos[Equipamento],F54,tbLancamentos[Momento da falha],"&gt;="&amp;Res!$C$9,tbLancamentos[Momento da falha],"&lt;"&amp;Res!$O$9)+K54)</f>
        <v/>
      </c>
      <c r="K54" s="79">
        <v>9.9529999999999598E-5</v>
      </c>
      <c r="L54" s="71" t="str">
        <f>IF(F54="","",IFERROR(COUNTIFS(tbLancamentos[Equipamento],F54,tbLancamentos[Momento da falha],"&gt;"&amp;0,tbLancamentos[Momento do retorno],""),0))</f>
        <v/>
      </c>
    </row>
    <row r="55" spans="2:12" ht="20.100000000000001" customHeight="1" x14ac:dyDescent="0.25">
      <c r="B55" s="87">
        <v>49</v>
      </c>
      <c r="C55" s="88"/>
      <c r="D55" s="74"/>
      <c r="E55" s="74"/>
      <c r="F55" s="84" t="str">
        <f t="shared" si="0"/>
        <v/>
      </c>
      <c r="G55" s="89" t="str">
        <f>IF(F55="","",VLOOKUP($C55,CadSet!$C$7:$E$26,2,FALSE))</f>
        <v/>
      </c>
      <c r="H55" s="90" t="str">
        <f>IF(G55="","",VLOOKUP($C55,CadSet!$C$7:$E$26,3,FALSE))</f>
        <v/>
      </c>
      <c r="I55" s="91" t="str">
        <f>IF(F55="","",COUNTIFS(tbLancamentos[Equipamento],F55,tbLancamentos[Momento da falha],"&gt;="&amp;Res!$C$9,tbLancamentos[Momento da falha],"&lt;"&amp;Res!$O$9)+K55)</f>
        <v/>
      </c>
      <c r="J55" s="83" t="str">
        <f>IF(F55="","",SUMIFS(tbLancamentos[Tempo indisponível],tbLancamentos[Equipamento],F55,tbLancamentos[Momento da falha],"&gt;="&amp;Res!$C$9,tbLancamentos[Momento da falha],"&lt;"&amp;Res!$O$9)+K55)</f>
        <v/>
      </c>
      <c r="K55" s="79">
        <v>9.9519999999999603E-5</v>
      </c>
      <c r="L55" s="71" t="str">
        <f>IF(F55="","",IFERROR(COUNTIFS(tbLancamentos[Equipamento],F55,tbLancamentos[Momento da falha],"&gt;"&amp;0,tbLancamentos[Momento do retorno],""),0))</f>
        <v/>
      </c>
    </row>
    <row r="56" spans="2:12" ht="20.100000000000001" customHeight="1" x14ac:dyDescent="0.25">
      <c r="B56" s="87">
        <v>50</v>
      </c>
      <c r="C56" s="88"/>
      <c r="D56" s="74"/>
      <c r="E56" s="74"/>
      <c r="F56" s="84" t="str">
        <f t="shared" si="0"/>
        <v/>
      </c>
      <c r="G56" s="89" t="str">
        <f>IF(F56="","",VLOOKUP($C56,CadSet!$C$7:$E$26,2,FALSE))</f>
        <v/>
      </c>
      <c r="H56" s="90" t="str">
        <f>IF(G56="","",VLOOKUP($C56,CadSet!$C$7:$E$26,3,FALSE))</f>
        <v/>
      </c>
      <c r="I56" s="91" t="str">
        <f>IF(F56="","",COUNTIFS(tbLancamentos[Equipamento],F56,tbLancamentos[Momento da falha],"&gt;="&amp;Res!$C$9,tbLancamentos[Momento da falha],"&lt;"&amp;Res!$O$9)+K56)</f>
        <v/>
      </c>
      <c r="J56" s="83" t="str">
        <f>IF(F56="","",SUMIFS(tbLancamentos[Tempo indisponível],tbLancamentos[Equipamento],F56,tbLancamentos[Momento da falha],"&gt;="&amp;Res!$C$9,tbLancamentos[Momento da falha],"&lt;"&amp;Res!$O$9)+K56)</f>
        <v/>
      </c>
      <c r="K56" s="79">
        <v>9.9509999999999594E-5</v>
      </c>
      <c r="L56" s="71" t="str">
        <f>IF(F56="","",IFERROR(COUNTIFS(tbLancamentos[Equipamento],F56,tbLancamentos[Momento da falha],"&gt;"&amp;0,tbLancamentos[Momento do retorno],""),0))</f>
        <v/>
      </c>
    </row>
    <row r="57" spans="2:12" ht="20.100000000000001" customHeight="1" x14ac:dyDescent="0.25">
      <c r="B57" s="87">
        <v>51</v>
      </c>
      <c r="C57" s="88"/>
      <c r="D57" s="74"/>
      <c r="E57" s="74"/>
      <c r="F57" s="84" t="str">
        <f t="shared" si="0"/>
        <v/>
      </c>
      <c r="G57" s="89" t="str">
        <f>IF(F57="","",VLOOKUP($C57,CadSet!$C$7:$E$26,2,FALSE))</f>
        <v/>
      </c>
      <c r="H57" s="90" t="str">
        <f>IF(G57="","",VLOOKUP($C57,CadSet!$C$7:$E$26,3,FALSE))</f>
        <v/>
      </c>
      <c r="I57" s="91" t="str">
        <f>IF(F57="","",COUNTIFS(tbLancamentos[Equipamento],F57,tbLancamentos[Momento da falha],"&gt;="&amp;Res!$C$9,tbLancamentos[Momento da falha],"&lt;"&amp;Res!$O$9)+K57)</f>
        <v/>
      </c>
      <c r="J57" s="83" t="str">
        <f>IF(F57="","",SUMIFS(tbLancamentos[Tempo indisponível],tbLancamentos[Equipamento],F57,tbLancamentos[Momento da falha],"&gt;="&amp;Res!$C$9,tbLancamentos[Momento da falha],"&lt;"&amp;Res!$O$9)+K57)</f>
        <v/>
      </c>
      <c r="K57" s="79">
        <v>9.94999999999996E-5</v>
      </c>
      <c r="L57" s="71" t="str">
        <f>IF(F57="","",IFERROR(COUNTIFS(tbLancamentos[Equipamento],F57,tbLancamentos[Momento da falha],"&gt;"&amp;0,tbLancamentos[Momento do retorno],""),0))</f>
        <v/>
      </c>
    </row>
    <row r="58" spans="2:12" ht="20.100000000000001" customHeight="1" x14ac:dyDescent="0.25">
      <c r="B58" s="87">
        <v>52</v>
      </c>
      <c r="C58" s="88"/>
      <c r="D58" s="74"/>
      <c r="E58" s="74"/>
      <c r="F58" s="84" t="str">
        <f t="shared" si="0"/>
        <v/>
      </c>
      <c r="G58" s="89" t="str">
        <f>IF(F58="","",VLOOKUP($C58,CadSet!$C$7:$E$26,2,FALSE))</f>
        <v/>
      </c>
      <c r="H58" s="90" t="str">
        <f>IF(G58="","",VLOOKUP($C58,CadSet!$C$7:$E$26,3,FALSE))</f>
        <v/>
      </c>
      <c r="I58" s="91" t="str">
        <f>IF(F58="","",COUNTIFS(tbLancamentos[Equipamento],F58,tbLancamentos[Momento da falha],"&gt;="&amp;Res!$C$9,tbLancamentos[Momento da falha],"&lt;"&amp;Res!$O$9)+K58)</f>
        <v/>
      </c>
      <c r="J58" s="83" t="str">
        <f>IF(F58="","",SUMIFS(tbLancamentos[Tempo indisponível],tbLancamentos[Equipamento],F58,tbLancamentos[Momento da falha],"&gt;="&amp;Res!$C$9,tbLancamentos[Momento da falha],"&lt;"&amp;Res!$O$9)+K58)</f>
        <v/>
      </c>
      <c r="K58" s="79">
        <v>9.9489999999999605E-5</v>
      </c>
      <c r="L58" s="71" t="str">
        <f>IF(F58="","",IFERROR(COUNTIFS(tbLancamentos[Equipamento],F58,tbLancamentos[Momento da falha],"&gt;"&amp;0,tbLancamentos[Momento do retorno],""),0))</f>
        <v/>
      </c>
    </row>
    <row r="59" spans="2:12" ht="20.100000000000001" customHeight="1" x14ac:dyDescent="0.25">
      <c r="B59" s="87">
        <v>53</v>
      </c>
      <c r="C59" s="88"/>
      <c r="D59" s="74"/>
      <c r="E59" s="74"/>
      <c r="F59" s="84" t="str">
        <f t="shared" si="0"/>
        <v/>
      </c>
      <c r="G59" s="89" t="str">
        <f>IF(F59="","",VLOOKUP($C59,CadSet!$C$7:$E$26,2,FALSE))</f>
        <v/>
      </c>
      <c r="H59" s="90" t="str">
        <f>IF(G59="","",VLOOKUP($C59,CadSet!$C$7:$E$26,3,FALSE))</f>
        <v/>
      </c>
      <c r="I59" s="91" t="str">
        <f>IF(F59="","",COUNTIFS(tbLancamentos[Equipamento],F59,tbLancamentos[Momento da falha],"&gt;="&amp;Res!$C$9,tbLancamentos[Momento da falha],"&lt;"&amp;Res!$O$9)+K59)</f>
        <v/>
      </c>
      <c r="J59" s="83" t="str">
        <f>IF(F59="","",SUMIFS(tbLancamentos[Tempo indisponível],tbLancamentos[Equipamento],F59,tbLancamentos[Momento da falha],"&gt;="&amp;Res!$C$9,tbLancamentos[Momento da falha],"&lt;"&amp;Res!$O$9)+K59)</f>
        <v/>
      </c>
      <c r="K59" s="79">
        <v>9.9479999999999596E-5</v>
      </c>
      <c r="L59" s="71" t="str">
        <f>IF(F59="","",IFERROR(COUNTIFS(tbLancamentos[Equipamento],F59,tbLancamentos[Momento da falha],"&gt;"&amp;0,tbLancamentos[Momento do retorno],""),0))</f>
        <v/>
      </c>
    </row>
    <row r="60" spans="2:12" ht="20.100000000000001" customHeight="1" x14ac:dyDescent="0.25">
      <c r="B60" s="87">
        <v>54</v>
      </c>
      <c r="C60" s="88"/>
      <c r="D60" s="74"/>
      <c r="E60" s="74"/>
      <c r="F60" s="84" t="str">
        <f t="shared" si="0"/>
        <v/>
      </c>
      <c r="G60" s="89" t="str">
        <f>IF(F60="","",VLOOKUP($C60,CadSet!$C$7:$E$26,2,FALSE))</f>
        <v/>
      </c>
      <c r="H60" s="90" t="str">
        <f>IF(G60="","",VLOOKUP($C60,CadSet!$C$7:$E$26,3,FALSE))</f>
        <v/>
      </c>
      <c r="I60" s="91" t="str">
        <f>IF(F60="","",COUNTIFS(tbLancamentos[Equipamento],F60,tbLancamentos[Momento da falha],"&gt;="&amp;Res!$C$9,tbLancamentos[Momento da falha],"&lt;"&amp;Res!$O$9)+K60)</f>
        <v/>
      </c>
      <c r="J60" s="83" t="str">
        <f>IF(F60="","",SUMIFS(tbLancamentos[Tempo indisponível],tbLancamentos[Equipamento],F60,tbLancamentos[Momento da falha],"&gt;="&amp;Res!$C$9,tbLancamentos[Momento da falha],"&lt;"&amp;Res!$O$9)+K60)</f>
        <v/>
      </c>
      <c r="K60" s="79">
        <v>9.9469999999999602E-5</v>
      </c>
      <c r="L60" s="71" t="str">
        <f>IF(F60="","",IFERROR(COUNTIFS(tbLancamentos[Equipamento],F60,tbLancamentos[Momento da falha],"&gt;"&amp;0,tbLancamentos[Momento do retorno],""),0))</f>
        <v/>
      </c>
    </row>
    <row r="61" spans="2:12" ht="20.100000000000001" customHeight="1" x14ac:dyDescent="0.25">
      <c r="B61" s="87">
        <v>55</v>
      </c>
      <c r="C61" s="88"/>
      <c r="D61" s="74"/>
      <c r="E61" s="74"/>
      <c r="F61" s="84" t="str">
        <f t="shared" si="0"/>
        <v/>
      </c>
      <c r="G61" s="89" t="str">
        <f>IF(F61="","",VLOOKUP($C61,CadSet!$C$7:$E$26,2,FALSE))</f>
        <v/>
      </c>
      <c r="H61" s="90" t="str">
        <f>IF(G61="","",VLOOKUP($C61,CadSet!$C$7:$E$26,3,FALSE))</f>
        <v/>
      </c>
      <c r="I61" s="91" t="str">
        <f>IF(F61="","",COUNTIFS(tbLancamentos[Equipamento],F61,tbLancamentos[Momento da falha],"&gt;="&amp;Res!$C$9,tbLancamentos[Momento da falha],"&lt;"&amp;Res!$O$9)+K61)</f>
        <v/>
      </c>
      <c r="J61" s="83" t="str">
        <f>IF(F61="","",SUMIFS(tbLancamentos[Tempo indisponível],tbLancamentos[Equipamento],F61,tbLancamentos[Momento da falha],"&gt;="&amp;Res!$C$9,tbLancamentos[Momento da falha],"&lt;"&amp;Res!$O$9)+K61)</f>
        <v/>
      </c>
      <c r="K61" s="79">
        <v>9.9459999999999593E-5</v>
      </c>
      <c r="L61" s="71" t="str">
        <f>IF(F61="","",IFERROR(COUNTIFS(tbLancamentos[Equipamento],F61,tbLancamentos[Momento da falha],"&gt;"&amp;0,tbLancamentos[Momento do retorno],""),0))</f>
        <v/>
      </c>
    </row>
    <row r="62" spans="2:12" ht="20.100000000000001" customHeight="1" x14ac:dyDescent="0.25">
      <c r="B62" s="87">
        <v>56</v>
      </c>
      <c r="C62" s="88"/>
      <c r="D62" s="74"/>
      <c r="E62" s="74"/>
      <c r="F62" s="84" t="str">
        <f t="shared" si="0"/>
        <v/>
      </c>
      <c r="G62" s="89" t="str">
        <f>IF(F62="","",VLOOKUP($C62,CadSet!$C$7:$E$26,2,FALSE))</f>
        <v/>
      </c>
      <c r="H62" s="90" t="str">
        <f>IF(G62="","",VLOOKUP($C62,CadSet!$C$7:$E$26,3,FALSE))</f>
        <v/>
      </c>
      <c r="I62" s="91" t="str">
        <f>IF(F62="","",COUNTIFS(tbLancamentos[Equipamento],F62,tbLancamentos[Momento da falha],"&gt;="&amp;Res!$C$9,tbLancamentos[Momento da falha],"&lt;"&amp;Res!$O$9)+K62)</f>
        <v/>
      </c>
      <c r="J62" s="83" t="str">
        <f>IF(F62="","",SUMIFS(tbLancamentos[Tempo indisponível],tbLancamentos[Equipamento],F62,tbLancamentos[Momento da falha],"&gt;="&amp;Res!$C$9,tbLancamentos[Momento da falha],"&lt;"&amp;Res!$O$9)+K62)</f>
        <v/>
      </c>
      <c r="K62" s="79">
        <v>9.9449999999999504E-5</v>
      </c>
      <c r="L62" s="71" t="str">
        <f>IF(F62="","",IFERROR(COUNTIFS(tbLancamentos[Equipamento],F62,tbLancamentos[Momento da falha],"&gt;"&amp;0,tbLancamentos[Momento do retorno],""),0))</f>
        <v/>
      </c>
    </row>
    <row r="63" spans="2:12" ht="20.100000000000001" customHeight="1" x14ac:dyDescent="0.25">
      <c r="B63" s="87">
        <v>57</v>
      </c>
      <c r="C63" s="88"/>
      <c r="D63" s="74"/>
      <c r="E63" s="74"/>
      <c r="F63" s="84" t="str">
        <f t="shared" si="0"/>
        <v/>
      </c>
      <c r="G63" s="89" t="str">
        <f>IF(F63="","",VLOOKUP($C63,CadSet!$C$7:$E$26,2,FALSE))</f>
        <v/>
      </c>
      <c r="H63" s="90" t="str">
        <f>IF(G63="","",VLOOKUP($C63,CadSet!$C$7:$E$26,3,FALSE))</f>
        <v/>
      </c>
      <c r="I63" s="91" t="str">
        <f>IF(F63="","",COUNTIFS(tbLancamentos[Equipamento],F63,tbLancamentos[Momento da falha],"&gt;="&amp;Res!$C$9,tbLancamentos[Momento da falha],"&lt;"&amp;Res!$O$9)+K63)</f>
        <v/>
      </c>
      <c r="J63" s="83" t="str">
        <f>IF(F63="","",SUMIFS(tbLancamentos[Tempo indisponível],tbLancamentos[Equipamento],F63,tbLancamentos[Momento da falha],"&gt;="&amp;Res!$C$9,tbLancamentos[Momento da falha],"&lt;"&amp;Res!$O$9)+K63)</f>
        <v/>
      </c>
      <c r="K63" s="79">
        <v>9.9439999999999495E-5</v>
      </c>
      <c r="L63" s="71" t="str">
        <f>IF(F63="","",IFERROR(COUNTIFS(tbLancamentos[Equipamento],F63,tbLancamentos[Momento da falha],"&gt;"&amp;0,tbLancamentos[Momento do retorno],""),0))</f>
        <v/>
      </c>
    </row>
    <row r="64" spans="2:12" ht="20.100000000000001" customHeight="1" x14ac:dyDescent="0.25">
      <c r="B64" s="87">
        <v>58</v>
      </c>
      <c r="C64" s="88"/>
      <c r="D64" s="74"/>
      <c r="E64" s="74"/>
      <c r="F64" s="84" t="str">
        <f t="shared" si="0"/>
        <v/>
      </c>
      <c r="G64" s="89" t="str">
        <f>IF(F64="","",VLOOKUP($C64,CadSet!$C$7:$E$26,2,FALSE))</f>
        <v/>
      </c>
      <c r="H64" s="90" t="str">
        <f>IF(G64="","",VLOOKUP($C64,CadSet!$C$7:$E$26,3,FALSE))</f>
        <v/>
      </c>
      <c r="I64" s="91" t="str">
        <f>IF(F64="","",COUNTIFS(tbLancamentos[Equipamento],F64,tbLancamentos[Momento da falha],"&gt;="&amp;Res!$C$9,tbLancamentos[Momento da falha],"&lt;"&amp;Res!$O$9)+K64)</f>
        <v/>
      </c>
      <c r="J64" s="83" t="str">
        <f>IF(F64="","",SUMIFS(tbLancamentos[Tempo indisponível],tbLancamentos[Equipamento],F64,tbLancamentos[Momento da falha],"&gt;="&amp;Res!$C$9,tbLancamentos[Momento da falha],"&lt;"&amp;Res!$O$9)+K64)</f>
        <v/>
      </c>
      <c r="K64" s="79">
        <v>9.94299999999995E-5</v>
      </c>
      <c r="L64" s="71" t="str">
        <f>IF(F64="","",IFERROR(COUNTIFS(tbLancamentos[Equipamento],F64,tbLancamentos[Momento da falha],"&gt;"&amp;0,tbLancamentos[Momento do retorno],""),0))</f>
        <v/>
      </c>
    </row>
    <row r="65" spans="2:12" ht="20.100000000000001" customHeight="1" x14ac:dyDescent="0.25">
      <c r="B65" s="87">
        <v>59</v>
      </c>
      <c r="C65" s="88"/>
      <c r="D65" s="74"/>
      <c r="E65" s="74"/>
      <c r="F65" s="84" t="str">
        <f t="shared" si="0"/>
        <v/>
      </c>
      <c r="G65" s="89" t="str">
        <f>IF(F65="","",VLOOKUP($C65,CadSet!$C$7:$E$26,2,FALSE))</f>
        <v/>
      </c>
      <c r="H65" s="90" t="str">
        <f>IF(G65="","",VLOOKUP($C65,CadSet!$C$7:$E$26,3,FALSE))</f>
        <v/>
      </c>
      <c r="I65" s="91" t="str">
        <f>IF(F65="","",COUNTIFS(tbLancamentos[Equipamento],F65,tbLancamentos[Momento da falha],"&gt;="&amp;Res!$C$9,tbLancamentos[Momento da falha],"&lt;"&amp;Res!$O$9)+K65)</f>
        <v/>
      </c>
      <c r="J65" s="83" t="str">
        <f>IF(F65="","",SUMIFS(tbLancamentos[Tempo indisponível],tbLancamentos[Equipamento],F65,tbLancamentos[Momento da falha],"&gt;="&amp;Res!$C$9,tbLancamentos[Momento da falha],"&lt;"&amp;Res!$O$9)+K65)</f>
        <v/>
      </c>
      <c r="K65" s="79">
        <v>9.9419999999999506E-5</v>
      </c>
      <c r="L65" s="71" t="str">
        <f>IF(F65="","",IFERROR(COUNTIFS(tbLancamentos[Equipamento],F65,tbLancamentos[Momento da falha],"&gt;"&amp;0,tbLancamentos[Momento do retorno],""),0))</f>
        <v/>
      </c>
    </row>
    <row r="66" spans="2:12" ht="20.100000000000001" customHeight="1" x14ac:dyDescent="0.25">
      <c r="B66" s="87">
        <v>60</v>
      </c>
      <c r="C66" s="88"/>
      <c r="D66" s="74"/>
      <c r="E66" s="74"/>
      <c r="F66" s="84" t="str">
        <f t="shared" si="0"/>
        <v/>
      </c>
      <c r="G66" s="89" t="str">
        <f>IF(F66="","",VLOOKUP($C66,CadSet!$C$7:$E$26,2,FALSE))</f>
        <v/>
      </c>
      <c r="H66" s="90" t="str">
        <f>IF(G66="","",VLOOKUP($C66,CadSet!$C$7:$E$26,3,FALSE))</f>
        <v/>
      </c>
      <c r="I66" s="91" t="str">
        <f>IF(F66="","",COUNTIFS(tbLancamentos[Equipamento],F66,tbLancamentos[Momento da falha],"&gt;="&amp;Res!$C$9,tbLancamentos[Momento da falha],"&lt;"&amp;Res!$O$9)+K66)</f>
        <v/>
      </c>
      <c r="J66" s="83" t="str">
        <f>IF(F66="","",SUMIFS(tbLancamentos[Tempo indisponível],tbLancamentos[Equipamento],F66,tbLancamentos[Momento da falha],"&gt;="&amp;Res!$C$9,tbLancamentos[Momento da falha],"&lt;"&amp;Res!$O$9)+K66)</f>
        <v/>
      </c>
      <c r="K66" s="79">
        <v>9.9409999999999497E-5</v>
      </c>
      <c r="L66" s="71" t="str">
        <f>IF(F66="","",IFERROR(COUNTIFS(tbLancamentos[Equipamento],F66,tbLancamentos[Momento da falha],"&gt;"&amp;0,tbLancamentos[Momento do retorno],""),0))</f>
        <v/>
      </c>
    </row>
    <row r="67" spans="2:12" ht="20.100000000000001" customHeight="1" x14ac:dyDescent="0.25">
      <c r="B67" s="87">
        <v>61</v>
      </c>
      <c r="C67" s="88"/>
      <c r="D67" s="74"/>
      <c r="E67" s="74"/>
      <c r="F67" s="84" t="str">
        <f t="shared" si="0"/>
        <v/>
      </c>
      <c r="G67" s="89" t="str">
        <f>IF(F67="","",VLOOKUP($C67,CadSet!$C$7:$E$26,2,FALSE))</f>
        <v/>
      </c>
      <c r="H67" s="90" t="str">
        <f>IF(G67="","",VLOOKUP($C67,CadSet!$C$7:$E$26,3,FALSE))</f>
        <v/>
      </c>
      <c r="I67" s="91" t="str">
        <f>IF(F67="","",COUNTIFS(tbLancamentos[Equipamento],F67,tbLancamentos[Momento da falha],"&gt;="&amp;Res!$C$9,tbLancamentos[Momento da falha],"&lt;"&amp;Res!$O$9)+K67)</f>
        <v/>
      </c>
      <c r="J67" s="83" t="str">
        <f>IF(F67="","",SUMIFS(tbLancamentos[Tempo indisponível],tbLancamentos[Equipamento],F67,tbLancamentos[Momento da falha],"&gt;="&amp;Res!$C$9,tbLancamentos[Momento da falha],"&lt;"&amp;Res!$O$9)+K67)</f>
        <v/>
      </c>
      <c r="K67" s="79">
        <v>9.9399999999999502E-5</v>
      </c>
      <c r="L67" s="71" t="str">
        <f>IF(F67="","",IFERROR(COUNTIFS(tbLancamentos[Equipamento],F67,tbLancamentos[Momento da falha],"&gt;"&amp;0,tbLancamentos[Momento do retorno],""),0))</f>
        <v/>
      </c>
    </row>
    <row r="68" spans="2:12" ht="20.100000000000001" customHeight="1" x14ac:dyDescent="0.25">
      <c r="B68" s="87">
        <v>62</v>
      </c>
      <c r="C68" s="88"/>
      <c r="D68" s="74"/>
      <c r="E68" s="74"/>
      <c r="F68" s="84" t="str">
        <f t="shared" si="0"/>
        <v/>
      </c>
      <c r="G68" s="89" t="str">
        <f>IF(F68="","",VLOOKUP($C68,CadSet!$C$7:$E$26,2,FALSE))</f>
        <v/>
      </c>
      <c r="H68" s="90" t="str">
        <f>IF(G68="","",VLOOKUP($C68,CadSet!$C$7:$E$26,3,FALSE))</f>
        <v/>
      </c>
      <c r="I68" s="91" t="str">
        <f>IF(F68="","",COUNTIFS(tbLancamentos[Equipamento],F68,tbLancamentos[Momento da falha],"&gt;="&amp;Res!$C$9,tbLancamentos[Momento da falha],"&lt;"&amp;Res!$O$9)+K68)</f>
        <v/>
      </c>
      <c r="J68" s="83" t="str">
        <f>IF(F68="","",SUMIFS(tbLancamentos[Tempo indisponível],tbLancamentos[Equipamento],F68,tbLancamentos[Momento da falha],"&gt;="&amp;Res!$C$9,tbLancamentos[Momento da falha],"&lt;"&amp;Res!$O$9)+K68)</f>
        <v/>
      </c>
      <c r="K68" s="79">
        <v>9.9389999999999494E-5</v>
      </c>
      <c r="L68" s="71" t="str">
        <f>IF(F68="","",IFERROR(COUNTIFS(tbLancamentos[Equipamento],F68,tbLancamentos[Momento da falha],"&gt;"&amp;0,tbLancamentos[Momento do retorno],""),0))</f>
        <v/>
      </c>
    </row>
    <row r="69" spans="2:12" ht="20.100000000000001" customHeight="1" x14ac:dyDescent="0.25">
      <c r="B69" s="87">
        <v>63</v>
      </c>
      <c r="C69" s="88"/>
      <c r="D69" s="74"/>
      <c r="E69" s="74"/>
      <c r="F69" s="84" t="str">
        <f t="shared" si="0"/>
        <v/>
      </c>
      <c r="G69" s="89" t="str">
        <f>IF(F69="","",VLOOKUP($C69,CadSet!$C$7:$E$26,2,FALSE))</f>
        <v/>
      </c>
      <c r="H69" s="90" t="str">
        <f>IF(G69="","",VLOOKUP($C69,CadSet!$C$7:$E$26,3,FALSE))</f>
        <v/>
      </c>
      <c r="I69" s="91" t="str">
        <f>IF(F69="","",COUNTIFS(tbLancamentos[Equipamento],F69,tbLancamentos[Momento da falha],"&gt;="&amp;Res!$C$9,tbLancamentos[Momento da falha],"&lt;"&amp;Res!$O$9)+K69)</f>
        <v/>
      </c>
      <c r="J69" s="83" t="str">
        <f>IF(F69="","",SUMIFS(tbLancamentos[Tempo indisponível],tbLancamentos[Equipamento],F69,tbLancamentos[Momento da falha],"&gt;="&amp;Res!$C$9,tbLancamentos[Momento da falha],"&lt;"&amp;Res!$O$9)+K69)</f>
        <v/>
      </c>
      <c r="K69" s="79">
        <v>9.9379999999999499E-5</v>
      </c>
      <c r="L69" s="71" t="str">
        <f>IF(F69="","",IFERROR(COUNTIFS(tbLancamentos[Equipamento],F69,tbLancamentos[Momento da falha],"&gt;"&amp;0,tbLancamentos[Momento do retorno],""),0))</f>
        <v/>
      </c>
    </row>
    <row r="70" spans="2:12" ht="20.100000000000001" customHeight="1" x14ac:dyDescent="0.25">
      <c r="B70" s="87">
        <v>64</v>
      </c>
      <c r="C70" s="88"/>
      <c r="D70" s="74"/>
      <c r="E70" s="74"/>
      <c r="F70" s="84" t="str">
        <f t="shared" si="0"/>
        <v/>
      </c>
      <c r="G70" s="89" t="str">
        <f>IF(F70="","",VLOOKUP($C70,CadSet!$C$7:$E$26,2,FALSE))</f>
        <v/>
      </c>
      <c r="H70" s="90" t="str">
        <f>IF(G70="","",VLOOKUP($C70,CadSet!$C$7:$E$26,3,FALSE))</f>
        <v/>
      </c>
      <c r="I70" s="91" t="str">
        <f>IF(F70="","",COUNTIFS(tbLancamentos[Equipamento],F70,tbLancamentos[Momento da falha],"&gt;="&amp;Res!$C$9,tbLancamentos[Momento da falha],"&lt;"&amp;Res!$O$9)+K70)</f>
        <v/>
      </c>
      <c r="J70" s="83" t="str">
        <f>IF(F70="","",SUMIFS(tbLancamentos[Tempo indisponível],tbLancamentos[Equipamento],F70,tbLancamentos[Momento da falha],"&gt;="&amp;Res!$C$9,tbLancamentos[Momento da falha],"&lt;"&amp;Res!$O$9)+K70)</f>
        <v/>
      </c>
      <c r="K70" s="79">
        <v>9.9369999999999504E-5</v>
      </c>
      <c r="L70" s="71" t="str">
        <f>IF(F70="","",IFERROR(COUNTIFS(tbLancamentos[Equipamento],F70,tbLancamentos[Momento da falha],"&gt;"&amp;0,tbLancamentos[Momento do retorno],""),0))</f>
        <v/>
      </c>
    </row>
    <row r="71" spans="2:12" ht="20.100000000000001" customHeight="1" x14ac:dyDescent="0.25">
      <c r="B71" s="87">
        <v>65</v>
      </c>
      <c r="C71" s="88"/>
      <c r="D71" s="74"/>
      <c r="E71" s="74"/>
      <c r="F71" s="84" t="str">
        <f t="shared" si="0"/>
        <v/>
      </c>
      <c r="G71" s="89" t="str">
        <f>IF(F71="","",VLOOKUP($C71,CadSet!$C$7:$E$26,2,FALSE))</f>
        <v/>
      </c>
      <c r="H71" s="90" t="str">
        <f>IF(G71="","",VLOOKUP($C71,CadSet!$C$7:$E$26,3,FALSE))</f>
        <v/>
      </c>
      <c r="I71" s="91" t="str">
        <f>IF(F71="","",COUNTIFS(tbLancamentos[Equipamento],F71,tbLancamentos[Momento da falha],"&gt;="&amp;Res!$C$9,tbLancamentos[Momento da falha],"&lt;"&amp;Res!$O$9)+K71)</f>
        <v/>
      </c>
      <c r="J71" s="83" t="str">
        <f>IF(F71="","",SUMIFS(tbLancamentos[Tempo indisponível],tbLancamentos[Equipamento],F71,tbLancamentos[Momento da falha],"&gt;="&amp;Res!$C$9,tbLancamentos[Momento da falha],"&lt;"&amp;Res!$O$9)+K71)</f>
        <v/>
      </c>
      <c r="K71" s="79">
        <v>9.9359999999999496E-5</v>
      </c>
      <c r="L71" s="71" t="str">
        <f>IF(F71="","",IFERROR(COUNTIFS(tbLancamentos[Equipamento],F71,tbLancamentos[Momento da falha],"&gt;"&amp;0,tbLancamentos[Momento do retorno],""),0))</f>
        <v/>
      </c>
    </row>
    <row r="72" spans="2:12" ht="20.100000000000001" customHeight="1" x14ac:dyDescent="0.25">
      <c r="B72" s="87">
        <v>66</v>
      </c>
      <c r="C72" s="88"/>
      <c r="D72" s="74"/>
      <c r="E72" s="74"/>
      <c r="F72" s="84" t="str">
        <f t="shared" ref="F72:F135" si="1">IF(AND(C72&lt;&gt;"",D72&lt;&gt;""),C72&amp;" - "&amp;D72,"")</f>
        <v/>
      </c>
      <c r="G72" s="89" t="str">
        <f>IF(F72="","",VLOOKUP($C72,CadSet!$C$7:$E$26,2,FALSE))</f>
        <v/>
      </c>
      <c r="H72" s="90" t="str">
        <f>IF(G72="","",VLOOKUP($C72,CadSet!$C$7:$E$26,3,FALSE))</f>
        <v/>
      </c>
      <c r="I72" s="91" t="str">
        <f>IF(F72="","",COUNTIFS(tbLancamentos[Equipamento],F72,tbLancamentos[Momento da falha],"&gt;="&amp;Res!$C$9,tbLancamentos[Momento da falha],"&lt;"&amp;Res!$O$9)+K72)</f>
        <v/>
      </c>
      <c r="J72" s="83" t="str">
        <f>IF(F72="","",SUMIFS(tbLancamentos[Tempo indisponível],tbLancamentos[Equipamento],F72,tbLancamentos[Momento da falha],"&gt;="&amp;Res!$C$9,tbLancamentos[Momento da falha],"&lt;"&amp;Res!$O$9)+K72)</f>
        <v/>
      </c>
      <c r="K72" s="79">
        <v>9.9349999999999501E-5</v>
      </c>
      <c r="L72" s="71" t="str">
        <f>IF(F72="","",IFERROR(COUNTIFS(tbLancamentos[Equipamento],F72,tbLancamentos[Momento da falha],"&gt;"&amp;0,tbLancamentos[Momento do retorno],""),0))</f>
        <v/>
      </c>
    </row>
    <row r="73" spans="2:12" ht="20.100000000000001" customHeight="1" x14ac:dyDescent="0.25">
      <c r="B73" s="87">
        <v>67</v>
      </c>
      <c r="C73" s="88"/>
      <c r="D73" s="74"/>
      <c r="E73" s="74"/>
      <c r="F73" s="84" t="str">
        <f t="shared" si="1"/>
        <v/>
      </c>
      <c r="G73" s="89" t="str">
        <f>IF(F73="","",VLOOKUP($C73,CadSet!$C$7:$E$26,2,FALSE))</f>
        <v/>
      </c>
      <c r="H73" s="90" t="str">
        <f>IF(G73="","",VLOOKUP($C73,CadSet!$C$7:$E$26,3,FALSE))</f>
        <v/>
      </c>
      <c r="I73" s="91" t="str">
        <f>IF(F73="","",COUNTIFS(tbLancamentos[Equipamento],F73,tbLancamentos[Momento da falha],"&gt;="&amp;Res!$C$9,tbLancamentos[Momento da falha],"&lt;"&amp;Res!$O$9)+K73)</f>
        <v/>
      </c>
      <c r="J73" s="83" t="str">
        <f>IF(F73="","",SUMIFS(tbLancamentos[Tempo indisponível],tbLancamentos[Equipamento],F73,tbLancamentos[Momento da falha],"&gt;="&amp;Res!$C$9,tbLancamentos[Momento da falha],"&lt;"&amp;Res!$O$9)+K73)</f>
        <v/>
      </c>
      <c r="K73" s="79">
        <v>9.9339999999999506E-5</v>
      </c>
      <c r="L73" s="71" t="str">
        <f>IF(F73="","",IFERROR(COUNTIFS(tbLancamentos[Equipamento],F73,tbLancamentos[Momento da falha],"&gt;"&amp;0,tbLancamentos[Momento do retorno],""),0))</f>
        <v/>
      </c>
    </row>
    <row r="74" spans="2:12" ht="20.100000000000001" customHeight="1" x14ac:dyDescent="0.25">
      <c r="B74" s="87">
        <v>68</v>
      </c>
      <c r="C74" s="88"/>
      <c r="D74" s="74"/>
      <c r="E74" s="74"/>
      <c r="F74" s="84" t="str">
        <f t="shared" si="1"/>
        <v/>
      </c>
      <c r="G74" s="89" t="str">
        <f>IF(F74="","",VLOOKUP($C74,CadSet!$C$7:$E$26,2,FALSE))</f>
        <v/>
      </c>
      <c r="H74" s="90" t="str">
        <f>IF(G74="","",VLOOKUP($C74,CadSet!$C$7:$E$26,3,FALSE))</f>
        <v/>
      </c>
      <c r="I74" s="91" t="str">
        <f>IF(F74="","",COUNTIFS(tbLancamentos[Equipamento],F74,tbLancamentos[Momento da falha],"&gt;="&amp;Res!$C$9,tbLancamentos[Momento da falha],"&lt;"&amp;Res!$O$9)+K74)</f>
        <v/>
      </c>
      <c r="J74" s="83" t="str">
        <f>IF(F74="","",SUMIFS(tbLancamentos[Tempo indisponível],tbLancamentos[Equipamento],F74,tbLancamentos[Momento da falha],"&gt;="&amp;Res!$C$9,tbLancamentos[Momento da falha],"&lt;"&amp;Res!$O$9)+K74)</f>
        <v/>
      </c>
      <c r="K74" s="79">
        <v>9.9329999999999403E-5</v>
      </c>
      <c r="L74" s="71" t="str">
        <f>IF(F74="","",IFERROR(COUNTIFS(tbLancamentos[Equipamento],F74,tbLancamentos[Momento da falha],"&gt;"&amp;0,tbLancamentos[Momento do retorno],""),0))</f>
        <v/>
      </c>
    </row>
    <row r="75" spans="2:12" ht="20.100000000000001" customHeight="1" x14ac:dyDescent="0.25">
      <c r="B75" s="87">
        <v>69</v>
      </c>
      <c r="C75" s="88"/>
      <c r="D75" s="74"/>
      <c r="E75" s="74"/>
      <c r="F75" s="84" t="str">
        <f t="shared" si="1"/>
        <v/>
      </c>
      <c r="G75" s="89" t="str">
        <f>IF(F75="","",VLOOKUP($C75,CadSet!$C$7:$E$26,2,FALSE))</f>
        <v/>
      </c>
      <c r="H75" s="90" t="str">
        <f>IF(G75="","",VLOOKUP($C75,CadSet!$C$7:$E$26,3,FALSE))</f>
        <v/>
      </c>
      <c r="I75" s="91" t="str">
        <f>IF(F75="","",COUNTIFS(tbLancamentos[Equipamento],F75,tbLancamentos[Momento da falha],"&gt;="&amp;Res!$C$9,tbLancamentos[Momento da falha],"&lt;"&amp;Res!$O$9)+K75)</f>
        <v/>
      </c>
      <c r="J75" s="83" t="str">
        <f>IF(F75="","",SUMIFS(tbLancamentos[Tempo indisponível],tbLancamentos[Equipamento],F75,tbLancamentos[Momento da falha],"&gt;="&amp;Res!$C$9,tbLancamentos[Momento da falha],"&lt;"&amp;Res!$O$9)+K75)</f>
        <v/>
      </c>
      <c r="K75" s="79">
        <v>9.9319999999999395E-5</v>
      </c>
      <c r="L75" s="71" t="str">
        <f>IF(F75="","",IFERROR(COUNTIFS(tbLancamentos[Equipamento],F75,tbLancamentos[Momento da falha],"&gt;"&amp;0,tbLancamentos[Momento do retorno],""),0))</f>
        <v/>
      </c>
    </row>
    <row r="76" spans="2:12" ht="20.100000000000001" customHeight="1" x14ac:dyDescent="0.25">
      <c r="B76" s="87">
        <v>70</v>
      </c>
      <c r="C76" s="88"/>
      <c r="D76" s="74"/>
      <c r="E76" s="74"/>
      <c r="F76" s="84" t="str">
        <f t="shared" si="1"/>
        <v/>
      </c>
      <c r="G76" s="89" t="str">
        <f>IF(F76="","",VLOOKUP($C76,CadSet!$C$7:$E$26,2,FALSE))</f>
        <v/>
      </c>
      <c r="H76" s="90" t="str">
        <f>IF(G76="","",VLOOKUP($C76,CadSet!$C$7:$E$26,3,FALSE))</f>
        <v/>
      </c>
      <c r="I76" s="91" t="str">
        <f>IF(F76="","",COUNTIFS(tbLancamentos[Equipamento],F76,tbLancamentos[Momento da falha],"&gt;="&amp;Res!$C$9,tbLancamentos[Momento da falha],"&lt;"&amp;Res!$O$9)+K76)</f>
        <v/>
      </c>
      <c r="J76" s="83" t="str">
        <f>IF(F76="","",SUMIFS(tbLancamentos[Tempo indisponível],tbLancamentos[Equipamento],F76,tbLancamentos[Momento da falha],"&gt;="&amp;Res!$C$9,tbLancamentos[Momento da falha],"&lt;"&amp;Res!$O$9)+K76)</f>
        <v/>
      </c>
      <c r="K76" s="79">
        <v>9.93099999999994E-5</v>
      </c>
      <c r="L76" s="71" t="str">
        <f>IF(F76="","",IFERROR(COUNTIFS(tbLancamentos[Equipamento],F76,tbLancamentos[Momento da falha],"&gt;"&amp;0,tbLancamentos[Momento do retorno],""),0))</f>
        <v/>
      </c>
    </row>
    <row r="77" spans="2:12" ht="20.100000000000001" customHeight="1" x14ac:dyDescent="0.25">
      <c r="B77" s="87">
        <v>71</v>
      </c>
      <c r="C77" s="88"/>
      <c r="D77" s="74"/>
      <c r="E77" s="74"/>
      <c r="F77" s="84" t="str">
        <f t="shared" si="1"/>
        <v/>
      </c>
      <c r="G77" s="89" t="str">
        <f>IF(F77="","",VLOOKUP($C77,CadSet!$C$7:$E$26,2,FALSE))</f>
        <v/>
      </c>
      <c r="H77" s="90" t="str">
        <f>IF(G77="","",VLOOKUP($C77,CadSet!$C$7:$E$26,3,FALSE))</f>
        <v/>
      </c>
      <c r="I77" s="91" t="str">
        <f>IF(F77="","",COUNTIFS(tbLancamentos[Equipamento],F77,tbLancamentos[Momento da falha],"&gt;="&amp;Res!$C$9,tbLancamentos[Momento da falha],"&lt;"&amp;Res!$O$9)+K77)</f>
        <v/>
      </c>
      <c r="J77" s="83" t="str">
        <f>IF(F77="","",SUMIFS(tbLancamentos[Tempo indisponível],tbLancamentos[Equipamento],F77,tbLancamentos[Momento da falha],"&gt;="&amp;Res!$C$9,tbLancamentos[Momento da falha],"&lt;"&amp;Res!$O$9)+K77)</f>
        <v/>
      </c>
      <c r="K77" s="79">
        <v>9.9299999999999405E-5</v>
      </c>
      <c r="L77" s="71" t="str">
        <f>IF(F77="","",IFERROR(COUNTIFS(tbLancamentos[Equipamento],F77,tbLancamentos[Momento da falha],"&gt;"&amp;0,tbLancamentos[Momento do retorno],""),0))</f>
        <v/>
      </c>
    </row>
    <row r="78" spans="2:12" ht="20.100000000000001" customHeight="1" x14ac:dyDescent="0.25">
      <c r="B78" s="87">
        <v>72</v>
      </c>
      <c r="C78" s="88"/>
      <c r="D78" s="74"/>
      <c r="E78" s="74"/>
      <c r="F78" s="84" t="str">
        <f t="shared" si="1"/>
        <v/>
      </c>
      <c r="G78" s="89" t="str">
        <f>IF(F78="","",VLOOKUP($C78,CadSet!$C$7:$E$26,2,FALSE))</f>
        <v/>
      </c>
      <c r="H78" s="90" t="str">
        <f>IF(G78="","",VLOOKUP($C78,CadSet!$C$7:$E$26,3,FALSE))</f>
        <v/>
      </c>
      <c r="I78" s="91" t="str">
        <f>IF(F78="","",COUNTIFS(tbLancamentos[Equipamento],F78,tbLancamentos[Momento da falha],"&gt;="&amp;Res!$C$9,tbLancamentos[Momento da falha],"&lt;"&amp;Res!$O$9)+K78)</f>
        <v/>
      </c>
      <c r="J78" s="83" t="str">
        <f>IF(F78="","",SUMIFS(tbLancamentos[Tempo indisponível],tbLancamentos[Equipamento],F78,tbLancamentos[Momento da falha],"&gt;="&amp;Res!$C$9,tbLancamentos[Momento da falha],"&lt;"&amp;Res!$O$9)+K78)</f>
        <v/>
      </c>
      <c r="K78" s="79">
        <v>9.9289999999999397E-5</v>
      </c>
      <c r="L78" s="71" t="str">
        <f>IF(F78="","",IFERROR(COUNTIFS(tbLancamentos[Equipamento],F78,tbLancamentos[Momento da falha],"&gt;"&amp;0,tbLancamentos[Momento do retorno],""),0))</f>
        <v/>
      </c>
    </row>
    <row r="79" spans="2:12" ht="20.100000000000001" customHeight="1" x14ac:dyDescent="0.25">
      <c r="B79" s="87">
        <v>73</v>
      </c>
      <c r="C79" s="88"/>
      <c r="D79" s="74"/>
      <c r="E79" s="74"/>
      <c r="F79" s="84" t="str">
        <f t="shared" si="1"/>
        <v/>
      </c>
      <c r="G79" s="89" t="str">
        <f>IF(F79="","",VLOOKUP($C79,CadSet!$C$7:$E$26,2,FALSE))</f>
        <v/>
      </c>
      <c r="H79" s="90" t="str">
        <f>IF(G79="","",VLOOKUP($C79,CadSet!$C$7:$E$26,3,FALSE))</f>
        <v/>
      </c>
      <c r="I79" s="91" t="str">
        <f>IF(F79="","",COUNTIFS(tbLancamentos[Equipamento],F79,tbLancamentos[Momento da falha],"&gt;="&amp;Res!$C$9,tbLancamentos[Momento da falha],"&lt;"&amp;Res!$O$9)+K79)</f>
        <v/>
      </c>
      <c r="J79" s="83" t="str">
        <f>IF(F79="","",SUMIFS(tbLancamentos[Tempo indisponível],tbLancamentos[Equipamento],F79,tbLancamentos[Momento da falha],"&gt;="&amp;Res!$C$9,tbLancamentos[Momento da falha],"&lt;"&amp;Res!$O$9)+K79)</f>
        <v/>
      </c>
      <c r="K79" s="79">
        <v>9.9279999999999402E-5</v>
      </c>
      <c r="L79" s="71" t="str">
        <f>IF(F79="","",IFERROR(COUNTIFS(tbLancamentos[Equipamento],F79,tbLancamentos[Momento da falha],"&gt;"&amp;0,tbLancamentos[Momento do retorno],""),0))</f>
        <v/>
      </c>
    </row>
    <row r="80" spans="2:12" ht="20.100000000000001" customHeight="1" x14ac:dyDescent="0.25">
      <c r="B80" s="87">
        <v>74</v>
      </c>
      <c r="C80" s="88"/>
      <c r="D80" s="74"/>
      <c r="E80" s="74"/>
      <c r="F80" s="84" t="str">
        <f t="shared" si="1"/>
        <v/>
      </c>
      <c r="G80" s="89" t="str">
        <f>IF(F80="","",VLOOKUP($C80,CadSet!$C$7:$E$26,2,FALSE))</f>
        <v/>
      </c>
      <c r="H80" s="90" t="str">
        <f>IF(G80="","",VLOOKUP($C80,CadSet!$C$7:$E$26,3,FALSE))</f>
        <v/>
      </c>
      <c r="I80" s="91" t="str">
        <f>IF(F80="","",COUNTIFS(tbLancamentos[Equipamento],F80,tbLancamentos[Momento da falha],"&gt;="&amp;Res!$C$9,tbLancamentos[Momento da falha],"&lt;"&amp;Res!$O$9)+K80)</f>
        <v/>
      </c>
      <c r="J80" s="83" t="str">
        <f>IF(F80="","",SUMIFS(tbLancamentos[Tempo indisponível],tbLancamentos[Equipamento],F80,tbLancamentos[Momento da falha],"&gt;="&amp;Res!$C$9,tbLancamentos[Momento da falha],"&lt;"&amp;Res!$O$9)+K80)</f>
        <v/>
      </c>
      <c r="K80" s="79">
        <v>9.9269999999999393E-5</v>
      </c>
      <c r="L80" s="71" t="str">
        <f>IF(F80="","",IFERROR(COUNTIFS(tbLancamentos[Equipamento],F80,tbLancamentos[Momento da falha],"&gt;"&amp;0,tbLancamentos[Momento do retorno],""),0))</f>
        <v/>
      </c>
    </row>
    <row r="81" spans="2:12" ht="20.100000000000001" customHeight="1" x14ac:dyDescent="0.25">
      <c r="B81" s="87">
        <v>75</v>
      </c>
      <c r="C81" s="88"/>
      <c r="D81" s="74"/>
      <c r="E81" s="74"/>
      <c r="F81" s="84" t="str">
        <f t="shared" si="1"/>
        <v/>
      </c>
      <c r="G81" s="89" t="str">
        <f>IF(F81="","",VLOOKUP($C81,CadSet!$C$7:$E$26,2,FALSE))</f>
        <v/>
      </c>
      <c r="H81" s="90" t="str">
        <f>IF(G81="","",VLOOKUP($C81,CadSet!$C$7:$E$26,3,FALSE))</f>
        <v/>
      </c>
      <c r="I81" s="91" t="str">
        <f>IF(F81="","",COUNTIFS(tbLancamentos[Equipamento],F81,tbLancamentos[Momento da falha],"&gt;="&amp;Res!$C$9,tbLancamentos[Momento da falha],"&lt;"&amp;Res!$O$9)+K81)</f>
        <v/>
      </c>
      <c r="J81" s="83" t="str">
        <f>IF(F81="","",SUMIFS(tbLancamentos[Tempo indisponível],tbLancamentos[Equipamento],F81,tbLancamentos[Momento da falha],"&gt;="&amp;Res!$C$9,tbLancamentos[Momento da falha],"&lt;"&amp;Res!$O$9)+K81)</f>
        <v/>
      </c>
      <c r="K81" s="79">
        <v>9.9259999999999399E-5</v>
      </c>
      <c r="L81" s="71" t="str">
        <f>IF(F81="","",IFERROR(COUNTIFS(tbLancamentos[Equipamento],F81,tbLancamentos[Momento da falha],"&gt;"&amp;0,tbLancamentos[Momento do retorno],""),0))</f>
        <v/>
      </c>
    </row>
    <row r="82" spans="2:12" ht="20.100000000000001" customHeight="1" x14ac:dyDescent="0.25">
      <c r="B82" s="87">
        <v>76</v>
      </c>
      <c r="C82" s="88"/>
      <c r="D82" s="74"/>
      <c r="E82" s="74"/>
      <c r="F82" s="84" t="str">
        <f t="shared" si="1"/>
        <v/>
      </c>
      <c r="G82" s="89" t="str">
        <f>IF(F82="","",VLOOKUP($C82,CadSet!$C$7:$E$26,2,FALSE))</f>
        <v/>
      </c>
      <c r="H82" s="90" t="str">
        <f>IF(G82="","",VLOOKUP($C82,CadSet!$C$7:$E$26,3,FALSE))</f>
        <v/>
      </c>
      <c r="I82" s="91" t="str">
        <f>IF(F82="","",COUNTIFS(tbLancamentos[Equipamento],F82,tbLancamentos[Momento da falha],"&gt;="&amp;Res!$C$9,tbLancamentos[Momento da falha],"&lt;"&amp;Res!$O$9)+K82)</f>
        <v/>
      </c>
      <c r="J82" s="83" t="str">
        <f>IF(F82="","",SUMIFS(tbLancamentos[Tempo indisponível],tbLancamentos[Equipamento],F82,tbLancamentos[Momento da falha],"&gt;="&amp;Res!$C$9,tbLancamentos[Momento da falha],"&lt;"&amp;Res!$O$9)+K82)</f>
        <v/>
      </c>
      <c r="K82" s="79">
        <v>9.9249999999999404E-5</v>
      </c>
      <c r="L82" s="71" t="str">
        <f>IF(F82="","",IFERROR(COUNTIFS(tbLancamentos[Equipamento],F82,tbLancamentos[Momento da falha],"&gt;"&amp;0,tbLancamentos[Momento do retorno],""),0))</f>
        <v/>
      </c>
    </row>
    <row r="83" spans="2:12" ht="20.100000000000001" customHeight="1" x14ac:dyDescent="0.25">
      <c r="B83" s="87">
        <v>77</v>
      </c>
      <c r="C83" s="88"/>
      <c r="D83" s="74"/>
      <c r="E83" s="74"/>
      <c r="F83" s="84" t="str">
        <f t="shared" si="1"/>
        <v/>
      </c>
      <c r="G83" s="89" t="str">
        <f>IF(F83="","",VLOOKUP($C83,CadSet!$C$7:$E$26,2,FALSE))</f>
        <v/>
      </c>
      <c r="H83" s="90" t="str">
        <f>IF(G83="","",VLOOKUP($C83,CadSet!$C$7:$E$26,3,FALSE))</f>
        <v/>
      </c>
      <c r="I83" s="91" t="str">
        <f>IF(F83="","",COUNTIFS(tbLancamentos[Equipamento],F83,tbLancamentos[Momento da falha],"&gt;="&amp;Res!$C$9,tbLancamentos[Momento da falha],"&lt;"&amp;Res!$O$9)+K83)</f>
        <v/>
      </c>
      <c r="J83" s="83" t="str">
        <f>IF(F83="","",SUMIFS(tbLancamentos[Tempo indisponível],tbLancamentos[Equipamento],F83,tbLancamentos[Momento da falha],"&gt;="&amp;Res!$C$9,tbLancamentos[Momento da falha],"&lt;"&amp;Res!$O$9)+K83)</f>
        <v/>
      </c>
      <c r="K83" s="79">
        <v>9.9239999999999395E-5</v>
      </c>
      <c r="L83" s="71" t="str">
        <f>IF(F83="","",IFERROR(COUNTIFS(tbLancamentos[Equipamento],F83,tbLancamentos[Momento da falha],"&gt;"&amp;0,tbLancamentos[Momento do retorno],""),0))</f>
        <v/>
      </c>
    </row>
    <row r="84" spans="2:12" ht="20.100000000000001" customHeight="1" x14ac:dyDescent="0.25">
      <c r="B84" s="87">
        <v>78</v>
      </c>
      <c r="C84" s="88"/>
      <c r="D84" s="74"/>
      <c r="E84" s="74"/>
      <c r="F84" s="84" t="str">
        <f t="shared" si="1"/>
        <v/>
      </c>
      <c r="G84" s="89" t="str">
        <f>IF(F84="","",VLOOKUP($C84,CadSet!$C$7:$E$26,2,FALSE))</f>
        <v/>
      </c>
      <c r="H84" s="90" t="str">
        <f>IF(G84="","",VLOOKUP($C84,CadSet!$C$7:$E$26,3,FALSE))</f>
        <v/>
      </c>
      <c r="I84" s="91" t="str">
        <f>IF(F84="","",COUNTIFS(tbLancamentos[Equipamento],F84,tbLancamentos[Momento da falha],"&gt;="&amp;Res!$C$9,tbLancamentos[Momento da falha],"&lt;"&amp;Res!$O$9)+K84)</f>
        <v/>
      </c>
      <c r="J84" s="83" t="str">
        <f>IF(F84="","",SUMIFS(tbLancamentos[Tempo indisponível],tbLancamentos[Equipamento],F84,tbLancamentos[Momento da falha],"&gt;="&amp;Res!$C$9,tbLancamentos[Momento da falha],"&lt;"&amp;Res!$O$9)+K84)</f>
        <v/>
      </c>
      <c r="K84" s="79">
        <v>9.9229999999999401E-5</v>
      </c>
      <c r="L84" s="71" t="str">
        <f>IF(F84="","",IFERROR(COUNTIFS(tbLancamentos[Equipamento],F84,tbLancamentos[Momento da falha],"&gt;"&amp;0,tbLancamentos[Momento do retorno],""),0))</f>
        <v/>
      </c>
    </row>
    <row r="85" spans="2:12" ht="20.100000000000001" customHeight="1" x14ac:dyDescent="0.25">
      <c r="B85" s="87">
        <v>79</v>
      </c>
      <c r="C85" s="88"/>
      <c r="D85" s="74"/>
      <c r="E85" s="74"/>
      <c r="F85" s="84" t="str">
        <f t="shared" si="1"/>
        <v/>
      </c>
      <c r="G85" s="89" t="str">
        <f>IF(F85="","",VLOOKUP($C85,CadSet!$C$7:$E$26,2,FALSE))</f>
        <v/>
      </c>
      <c r="H85" s="90" t="str">
        <f>IF(G85="","",VLOOKUP($C85,CadSet!$C$7:$E$26,3,FALSE))</f>
        <v/>
      </c>
      <c r="I85" s="91" t="str">
        <f>IF(F85="","",COUNTIFS(tbLancamentos[Equipamento],F85,tbLancamentos[Momento da falha],"&gt;="&amp;Res!$C$9,tbLancamentos[Momento da falha],"&lt;"&amp;Res!$O$9)+K85)</f>
        <v/>
      </c>
      <c r="J85" s="83" t="str">
        <f>IF(F85="","",SUMIFS(tbLancamentos[Tempo indisponível],tbLancamentos[Equipamento],F85,tbLancamentos[Momento da falha],"&gt;="&amp;Res!$C$9,tbLancamentos[Momento da falha],"&lt;"&amp;Res!$O$9)+K85)</f>
        <v/>
      </c>
      <c r="K85" s="79">
        <v>9.9219999999999406E-5</v>
      </c>
      <c r="L85" s="71" t="str">
        <f>IF(F85="","",IFERROR(COUNTIFS(tbLancamentos[Equipamento],F85,tbLancamentos[Momento da falha],"&gt;"&amp;0,tbLancamentos[Momento do retorno],""),0))</f>
        <v/>
      </c>
    </row>
    <row r="86" spans="2:12" ht="20.100000000000001" customHeight="1" x14ac:dyDescent="0.25">
      <c r="B86" s="87">
        <v>80</v>
      </c>
      <c r="C86" s="88"/>
      <c r="D86" s="74"/>
      <c r="E86" s="74"/>
      <c r="F86" s="84" t="str">
        <f t="shared" si="1"/>
        <v/>
      </c>
      <c r="G86" s="89" t="str">
        <f>IF(F86="","",VLOOKUP($C86,CadSet!$C$7:$E$26,2,FALSE))</f>
        <v/>
      </c>
      <c r="H86" s="90" t="str">
        <f>IF(G86="","",VLOOKUP($C86,CadSet!$C$7:$E$26,3,FALSE))</f>
        <v/>
      </c>
      <c r="I86" s="91" t="str">
        <f>IF(F86="","",COUNTIFS(tbLancamentos[Equipamento],F86,tbLancamentos[Momento da falha],"&gt;="&amp;Res!$C$9,tbLancamentos[Momento da falha],"&lt;"&amp;Res!$O$9)+K86)</f>
        <v/>
      </c>
      <c r="J86" s="83" t="str">
        <f>IF(F86="","",SUMIFS(tbLancamentos[Tempo indisponível],tbLancamentos[Equipamento],F86,tbLancamentos[Momento da falha],"&gt;="&amp;Res!$C$9,tbLancamentos[Momento da falha],"&lt;"&amp;Res!$O$9)+K86)</f>
        <v/>
      </c>
      <c r="K86" s="79">
        <v>9.9209999999999303E-5</v>
      </c>
      <c r="L86" s="71" t="str">
        <f>IF(F86="","",IFERROR(COUNTIFS(tbLancamentos[Equipamento],F86,tbLancamentos[Momento da falha],"&gt;"&amp;0,tbLancamentos[Momento do retorno],""),0))</f>
        <v/>
      </c>
    </row>
    <row r="87" spans="2:12" ht="20.100000000000001" customHeight="1" x14ac:dyDescent="0.25">
      <c r="B87" s="87">
        <v>81</v>
      </c>
      <c r="C87" s="88"/>
      <c r="D87" s="74"/>
      <c r="E87" s="74"/>
      <c r="F87" s="84" t="str">
        <f t="shared" si="1"/>
        <v/>
      </c>
      <c r="G87" s="89" t="str">
        <f>IF(F87="","",VLOOKUP($C87,CadSet!$C$7:$E$26,2,FALSE))</f>
        <v/>
      </c>
      <c r="H87" s="90" t="str">
        <f>IF(G87="","",VLOOKUP($C87,CadSet!$C$7:$E$26,3,FALSE))</f>
        <v/>
      </c>
      <c r="I87" s="91" t="str">
        <f>IF(F87="","",COUNTIFS(tbLancamentos[Equipamento],F87,tbLancamentos[Momento da falha],"&gt;="&amp;Res!$C$9,tbLancamentos[Momento da falha],"&lt;"&amp;Res!$O$9)+K87)</f>
        <v/>
      </c>
      <c r="J87" s="83" t="str">
        <f>IF(F87="","",SUMIFS(tbLancamentos[Tempo indisponível],tbLancamentos[Equipamento],F87,tbLancamentos[Momento da falha],"&gt;="&amp;Res!$C$9,tbLancamentos[Momento da falha],"&lt;"&amp;Res!$O$9)+K87)</f>
        <v/>
      </c>
      <c r="K87" s="79">
        <v>9.9199999999999294E-5</v>
      </c>
      <c r="L87" s="71" t="str">
        <f>IF(F87="","",IFERROR(COUNTIFS(tbLancamentos[Equipamento],F87,tbLancamentos[Momento da falha],"&gt;"&amp;0,tbLancamentos[Momento do retorno],""),0))</f>
        <v/>
      </c>
    </row>
    <row r="88" spans="2:12" ht="20.100000000000001" customHeight="1" x14ac:dyDescent="0.25">
      <c r="B88" s="87">
        <v>82</v>
      </c>
      <c r="C88" s="88"/>
      <c r="D88" s="74"/>
      <c r="E88" s="74"/>
      <c r="F88" s="84" t="str">
        <f t="shared" si="1"/>
        <v/>
      </c>
      <c r="G88" s="89" t="str">
        <f>IF(F88="","",VLOOKUP($C88,CadSet!$C$7:$E$26,2,FALSE))</f>
        <v/>
      </c>
      <c r="H88" s="90" t="str">
        <f>IF(G88="","",VLOOKUP($C88,CadSet!$C$7:$E$26,3,FALSE))</f>
        <v/>
      </c>
      <c r="I88" s="91" t="str">
        <f>IF(F88="","",COUNTIFS(tbLancamentos[Equipamento],F88,tbLancamentos[Momento da falha],"&gt;="&amp;Res!$C$9,tbLancamentos[Momento da falha],"&lt;"&amp;Res!$O$9)+K88)</f>
        <v/>
      </c>
      <c r="J88" s="83" t="str">
        <f>IF(F88="","",SUMIFS(tbLancamentos[Tempo indisponível],tbLancamentos[Equipamento],F88,tbLancamentos[Momento da falha],"&gt;="&amp;Res!$C$9,tbLancamentos[Momento da falha],"&lt;"&amp;Res!$O$9)+K88)</f>
        <v/>
      </c>
      <c r="K88" s="79">
        <v>9.9189999999999299E-5</v>
      </c>
      <c r="L88" s="71" t="str">
        <f>IF(F88="","",IFERROR(COUNTIFS(tbLancamentos[Equipamento],F88,tbLancamentos[Momento da falha],"&gt;"&amp;0,tbLancamentos[Momento do retorno],""),0))</f>
        <v/>
      </c>
    </row>
    <row r="89" spans="2:12" ht="20.100000000000001" customHeight="1" x14ac:dyDescent="0.25">
      <c r="B89" s="87">
        <v>83</v>
      </c>
      <c r="C89" s="88"/>
      <c r="D89" s="74"/>
      <c r="E89" s="74"/>
      <c r="F89" s="84" t="str">
        <f t="shared" si="1"/>
        <v/>
      </c>
      <c r="G89" s="89" t="str">
        <f>IF(F89="","",VLOOKUP($C89,CadSet!$C$7:$E$26,2,FALSE))</f>
        <v/>
      </c>
      <c r="H89" s="90" t="str">
        <f>IF(G89="","",VLOOKUP($C89,CadSet!$C$7:$E$26,3,FALSE))</f>
        <v/>
      </c>
      <c r="I89" s="91" t="str">
        <f>IF(F89="","",COUNTIFS(tbLancamentos[Equipamento],F89,tbLancamentos[Momento da falha],"&gt;="&amp;Res!$C$9,tbLancamentos[Momento da falha],"&lt;"&amp;Res!$O$9)+K89)</f>
        <v/>
      </c>
      <c r="J89" s="83" t="str">
        <f>IF(F89="","",SUMIFS(tbLancamentos[Tempo indisponível],tbLancamentos[Equipamento],F89,tbLancamentos[Momento da falha],"&gt;="&amp;Res!$C$9,tbLancamentos[Momento da falha],"&lt;"&amp;Res!$O$9)+K89)</f>
        <v/>
      </c>
      <c r="K89" s="79">
        <v>9.9179999999999305E-5</v>
      </c>
      <c r="L89" s="71" t="str">
        <f>IF(F89="","",IFERROR(COUNTIFS(tbLancamentos[Equipamento],F89,tbLancamentos[Momento da falha],"&gt;"&amp;0,tbLancamentos[Momento do retorno],""),0))</f>
        <v/>
      </c>
    </row>
    <row r="90" spans="2:12" ht="20.100000000000001" customHeight="1" x14ac:dyDescent="0.25">
      <c r="B90" s="87">
        <v>84</v>
      </c>
      <c r="C90" s="88"/>
      <c r="D90" s="74"/>
      <c r="E90" s="74"/>
      <c r="F90" s="84" t="str">
        <f t="shared" si="1"/>
        <v/>
      </c>
      <c r="G90" s="89" t="str">
        <f>IF(F90="","",VLOOKUP($C90,CadSet!$C$7:$E$26,2,FALSE))</f>
        <v/>
      </c>
      <c r="H90" s="90" t="str">
        <f>IF(G90="","",VLOOKUP($C90,CadSet!$C$7:$E$26,3,FALSE))</f>
        <v/>
      </c>
      <c r="I90" s="91" t="str">
        <f>IF(F90="","",COUNTIFS(tbLancamentos[Equipamento],F90,tbLancamentos[Momento da falha],"&gt;="&amp;Res!$C$9,tbLancamentos[Momento da falha],"&lt;"&amp;Res!$O$9)+K90)</f>
        <v/>
      </c>
      <c r="J90" s="83" t="str">
        <f>IF(F90="","",SUMIFS(tbLancamentos[Tempo indisponível],tbLancamentos[Equipamento],F90,tbLancamentos[Momento da falha],"&gt;="&amp;Res!$C$9,tbLancamentos[Momento da falha],"&lt;"&amp;Res!$O$9)+K90)</f>
        <v/>
      </c>
      <c r="K90" s="79">
        <v>9.9169999999999296E-5</v>
      </c>
      <c r="L90" s="71" t="str">
        <f>IF(F90="","",IFERROR(COUNTIFS(tbLancamentos[Equipamento],F90,tbLancamentos[Momento da falha],"&gt;"&amp;0,tbLancamentos[Momento do retorno],""),0))</f>
        <v/>
      </c>
    </row>
    <row r="91" spans="2:12" ht="20.100000000000001" customHeight="1" x14ac:dyDescent="0.25">
      <c r="B91" s="87">
        <v>85</v>
      </c>
      <c r="C91" s="88"/>
      <c r="D91" s="74"/>
      <c r="E91" s="74"/>
      <c r="F91" s="84" t="str">
        <f t="shared" si="1"/>
        <v/>
      </c>
      <c r="G91" s="89" t="str">
        <f>IF(F91="","",VLOOKUP($C91,CadSet!$C$7:$E$26,2,FALSE))</f>
        <v/>
      </c>
      <c r="H91" s="90" t="str">
        <f>IF(G91="","",VLOOKUP($C91,CadSet!$C$7:$E$26,3,FALSE))</f>
        <v/>
      </c>
      <c r="I91" s="91" t="str">
        <f>IF(F91="","",COUNTIFS(tbLancamentos[Equipamento],F91,tbLancamentos[Momento da falha],"&gt;="&amp;Res!$C$9,tbLancamentos[Momento da falha],"&lt;"&amp;Res!$O$9)+K91)</f>
        <v/>
      </c>
      <c r="J91" s="83" t="str">
        <f>IF(F91="","",SUMIFS(tbLancamentos[Tempo indisponível],tbLancamentos[Equipamento],F91,tbLancamentos[Momento da falha],"&gt;="&amp;Res!$C$9,tbLancamentos[Momento da falha],"&lt;"&amp;Res!$O$9)+K91)</f>
        <v/>
      </c>
      <c r="K91" s="79">
        <v>9.9159999999999301E-5</v>
      </c>
      <c r="L91" s="71" t="str">
        <f>IF(F91="","",IFERROR(COUNTIFS(tbLancamentos[Equipamento],F91,tbLancamentos[Momento da falha],"&gt;"&amp;0,tbLancamentos[Momento do retorno],""),0))</f>
        <v/>
      </c>
    </row>
    <row r="92" spans="2:12" ht="20.100000000000001" customHeight="1" x14ac:dyDescent="0.25">
      <c r="B92" s="87">
        <v>86</v>
      </c>
      <c r="C92" s="88"/>
      <c r="D92" s="74"/>
      <c r="E92" s="74"/>
      <c r="F92" s="84" t="str">
        <f t="shared" si="1"/>
        <v/>
      </c>
      <c r="G92" s="89" t="str">
        <f>IF(F92="","",VLOOKUP($C92,CadSet!$C$7:$E$26,2,FALSE))</f>
        <v/>
      </c>
      <c r="H92" s="90" t="str">
        <f>IF(G92="","",VLOOKUP($C92,CadSet!$C$7:$E$26,3,FALSE))</f>
        <v/>
      </c>
      <c r="I92" s="91" t="str">
        <f>IF(F92="","",COUNTIFS(tbLancamentos[Equipamento],F92,tbLancamentos[Momento da falha],"&gt;="&amp;Res!$C$9,tbLancamentos[Momento da falha],"&lt;"&amp;Res!$O$9)+K92)</f>
        <v/>
      </c>
      <c r="J92" s="83" t="str">
        <f>IF(F92="","",SUMIFS(tbLancamentos[Tempo indisponível],tbLancamentos[Equipamento],F92,tbLancamentos[Momento da falha],"&gt;="&amp;Res!$C$9,tbLancamentos[Momento da falha],"&lt;"&amp;Res!$O$9)+K92)</f>
        <v/>
      </c>
      <c r="K92" s="79">
        <v>9.9149999999999307E-5</v>
      </c>
      <c r="L92" s="71" t="str">
        <f>IF(F92="","",IFERROR(COUNTIFS(tbLancamentos[Equipamento],F92,tbLancamentos[Momento da falha],"&gt;"&amp;0,tbLancamentos[Momento do retorno],""),0))</f>
        <v/>
      </c>
    </row>
    <row r="93" spans="2:12" ht="20.100000000000001" customHeight="1" x14ac:dyDescent="0.25">
      <c r="B93" s="87">
        <v>87</v>
      </c>
      <c r="C93" s="88"/>
      <c r="D93" s="74"/>
      <c r="E93" s="74"/>
      <c r="F93" s="84" t="str">
        <f t="shared" si="1"/>
        <v/>
      </c>
      <c r="G93" s="89" t="str">
        <f>IF(F93="","",VLOOKUP($C93,CadSet!$C$7:$E$26,2,FALSE))</f>
        <v/>
      </c>
      <c r="H93" s="90" t="str">
        <f>IF(G93="","",VLOOKUP($C93,CadSet!$C$7:$E$26,3,FALSE))</f>
        <v/>
      </c>
      <c r="I93" s="91" t="str">
        <f>IF(F93="","",COUNTIFS(tbLancamentos[Equipamento],F93,tbLancamentos[Momento da falha],"&gt;="&amp;Res!$C$9,tbLancamentos[Momento da falha],"&lt;"&amp;Res!$O$9)+K93)</f>
        <v/>
      </c>
      <c r="J93" s="83" t="str">
        <f>IF(F93="","",SUMIFS(tbLancamentos[Tempo indisponível],tbLancamentos[Equipamento],F93,tbLancamentos[Momento da falha],"&gt;="&amp;Res!$C$9,tbLancamentos[Momento da falha],"&lt;"&amp;Res!$O$9)+K93)</f>
        <v/>
      </c>
      <c r="K93" s="79">
        <v>9.9139999999999298E-5</v>
      </c>
      <c r="L93" s="71" t="str">
        <f>IF(F93="","",IFERROR(COUNTIFS(tbLancamentos[Equipamento],F93,tbLancamentos[Momento da falha],"&gt;"&amp;0,tbLancamentos[Momento do retorno],""),0))</f>
        <v/>
      </c>
    </row>
    <row r="94" spans="2:12" ht="20.100000000000001" customHeight="1" x14ac:dyDescent="0.25">
      <c r="B94" s="87">
        <v>88</v>
      </c>
      <c r="C94" s="88"/>
      <c r="D94" s="74"/>
      <c r="E94" s="74"/>
      <c r="F94" s="84" t="str">
        <f t="shared" si="1"/>
        <v/>
      </c>
      <c r="G94" s="89" t="str">
        <f>IF(F94="","",VLOOKUP($C94,CadSet!$C$7:$E$26,2,FALSE))</f>
        <v/>
      </c>
      <c r="H94" s="90" t="str">
        <f>IF(G94="","",VLOOKUP($C94,CadSet!$C$7:$E$26,3,FALSE))</f>
        <v/>
      </c>
      <c r="I94" s="91" t="str">
        <f>IF(F94="","",COUNTIFS(tbLancamentos[Equipamento],F94,tbLancamentos[Momento da falha],"&gt;="&amp;Res!$C$9,tbLancamentos[Momento da falha],"&lt;"&amp;Res!$O$9)+K94)</f>
        <v/>
      </c>
      <c r="J94" s="83" t="str">
        <f>IF(F94="","",SUMIFS(tbLancamentos[Tempo indisponível],tbLancamentos[Equipamento],F94,tbLancamentos[Momento da falha],"&gt;="&amp;Res!$C$9,tbLancamentos[Momento da falha],"&lt;"&amp;Res!$O$9)+K94)</f>
        <v/>
      </c>
      <c r="K94" s="79">
        <v>9.9129999999999303E-5</v>
      </c>
      <c r="L94" s="71" t="str">
        <f>IF(F94="","",IFERROR(COUNTIFS(tbLancamentos[Equipamento],F94,tbLancamentos[Momento da falha],"&gt;"&amp;0,tbLancamentos[Momento do retorno],""),0))</f>
        <v/>
      </c>
    </row>
    <row r="95" spans="2:12" ht="20.100000000000001" customHeight="1" x14ac:dyDescent="0.25">
      <c r="B95" s="87">
        <v>89</v>
      </c>
      <c r="C95" s="88"/>
      <c r="D95" s="74"/>
      <c r="E95" s="74"/>
      <c r="F95" s="84" t="str">
        <f t="shared" si="1"/>
        <v/>
      </c>
      <c r="G95" s="89" t="str">
        <f>IF(F95="","",VLOOKUP($C95,CadSet!$C$7:$E$26,2,FALSE))</f>
        <v/>
      </c>
      <c r="H95" s="90" t="str">
        <f>IF(G95="","",VLOOKUP($C95,CadSet!$C$7:$E$26,3,FALSE))</f>
        <v/>
      </c>
      <c r="I95" s="91" t="str">
        <f>IF(F95="","",COUNTIFS(tbLancamentos[Equipamento],F95,tbLancamentos[Momento da falha],"&gt;="&amp;Res!$C$9,tbLancamentos[Momento da falha],"&lt;"&amp;Res!$O$9)+K95)</f>
        <v/>
      </c>
      <c r="J95" s="83" t="str">
        <f>IF(F95="","",SUMIFS(tbLancamentos[Tempo indisponível],tbLancamentos[Equipamento],F95,tbLancamentos[Momento da falha],"&gt;="&amp;Res!$C$9,tbLancamentos[Momento da falha],"&lt;"&amp;Res!$O$9)+K95)</f>
        <v/>
      </c>
      <c r="K95" s="79">
        <v>9.9119999999999295E-5</v>
      </c>
      <c r="L95" s="71" t="str">
        <f>IF(F95="","",IFERROR(COUNTIFS(tbLancamentos[Equipamento],F95,tbLancamentos[Momento da falha],"&gt;"&amp;0,tbLancamentos[Momento do retorno],""),0))</f>
        <v/>
      </c>
    </row>
    <row r="96" spans="2:12" ht="20.100000000000001" customHeight="1" x14ac:dyDescent="0.25">
      <c r="B96" s="87">
        <v>90</v>
      </c>
      <c r="C96" s="88"/>
      <c r="D96" s="74"/>
      <c r="E96" s="74"/>
      <c r="F96" s="84" t="str">
        <f t="shared" si="1"/>
        <v/>
      </c>
      <c r="G96" s="89" t="str">
        <f>IF(F96="","",VLOOKUP($C96,CadSet!$C$7:$E$26,2,FALSE))</f>
        <v/>
      </c>
      <c r="H96" s="90" t="str">
        <f>IF(G96="","",VLOOKUP($C96,CadSet!$C$7:$E$26,3,FALSE))</f>
        <v/>
      </c>
      <c r="I96" s="91" t="str">
        <f>IF(F96="","",COUNTIFS(tbLancamentos[Equipamento],F96,tbLancamentos[Momento da falha],"&gt;="&amp;Res!$C$9,tbLancamentos[Momento da falha],"&lt;"&amp;Res!$O$9)+K96)</f>
        <v/>
      </c>
      <c r="J96" s="83" t="str">
        <f>IF(F96="","",SUMIFS(tbLancamentos[Tempo indisponível],tbLancamentos[Equipamento],F96,tbLancamentos[Momento da falha],"&gt;="&amp;Res!$C$9,tbLancamentos[Momento da falha],"&lt;"&amp;Res!$O$9)+K96)</f>
        <v/>
      </c>
      <c r="K96" s="79">
        <v>9.91099999999993E-5</v>
      </c>
      <c r="L96" s="71" t="str">
        <f>IF(F96="","",IFERROR(COUNTIFS(tbLancamentos[Equipamento],F96,tbLancamentos[Momento da falha],"&gt;"&amp;0,tbLancamentos[Momento do retorno],""),0))</f>
        <v/>
      </c>
    </row>
    <row r="97" spans="2:12" ht="20.100000000000001" customHeight="1" x14ac:dyDescent="0.25">
      <c r="B97" s="87">
        <v>91</v>
      </c>
      <c r="C97" s="88"/>
      <c r="D97" s="74"/>
      <c r="E97" s="74"/>
      <c r="F97" s="84" t="str">
        <f t="shared" si="1"/>
        <v/>
      </c>
      <c r="G97" s="89" t="str">
        <f>IF(F97="","",VLOOKUP($C97,CadSet!$C$7:$E$26,2,FALSE))</f>
        <v/>
      </c>
      <c r="H97" s="90" t="str">
        <f>IF(G97="","",VLOOKUP($C97,CadSet!$C$7:$E$26,3,FALSE))</f>
        <v/>
      </c>
      <c r="I97" s="91" t="str">
        <f>IF(F97="","",COUNTIFS(tbLancamentos[Equipamento],F97,tbLancamentos[Momento da falha],"&gt;="&amp;Res!$C$9,tbLancamentos[Momento da falha],"&lt;"&amp;Res!$O$9)+K97)</f>
        <v/>
      </c>
      <c r="J97" s="83" t="str">
        <f>IF(F97="","",SUMIFS(tbLancamentos[Tempo indisponível],tbLancamentos[Equipamento],F97,tbLancamentos[Momento da falha],"&gt;="&amp;Res!$C$9,tbLancamentos[Momento da falha],"&lt;"&amp;Res!$O$9)+K97)</f>
        <v/>
      </c>
      <c r="K97" s="79">
        <v>9.9099999999999305E-5</v>
      </c>
      <c r="L97" s="71" t="str">
        <f>IF(F97="","",IFERROR(COUNTIFS(tbLancamentos[Equipamento],F97,tbLancamentos[Momento da falha],"&gt;"&amp;0,tbLancamentos[Momento do retorno],""),0))</f>
        <v/>
      </c>
    </row>
    <row r="98" spans="2:12" ht="20.100000000000001" customHeight="1" x14ac:dyDescent="0.25">
      <c r="B98" s="87">
        <v>92</v>
      </c>
      <c r="C98" s="88"/>
      <c r="D98" s="74"/>
      <c r="E98" s="74"/>
      <c r="F98" s="84" t="str">
        <f t="shared" si="1"/>
        <v/>
      </c>
      <c r="G98" s="89" t="str">
        <f>IF(F98="","",VLOOKUP($C98,CadSet!$C$7:$E$26,2,FALSE))</f>
        <v/>
      </c>
      <c r="H98" s="90" t="str">
        <f>IF(G98="","",VLOOKUP($C98,CadSet!$C$7:$E$26,3,FALSE))</f>
        <v/>
      </c>
      <c r="I98" s="91" t="str">
        <f>IF(F98="","",COUNTIFS(tbLancamentos[Equipamento],F98,tbLancamentos[Momento da falha],"&gt;="&amp;Res!$C$9,tbLancamentos[Momento da falha],"&lt;"&amp;Res!$O$9)+K98)</f>
        <v/>
      </c>
      <c r="J98" s="83" t="str">
        <f>IF(F98="","",SUMIFS(tbLancamentos[Tempo indisponível],tbLancamentos[Equipamento],F98,tbLancamentos[Momento da falha],"&gt;="&amp;Res!$C$9,tbLancamentos[Momento da falha],"&lt;"&amp;Res!$O$9)+K98)</f>
        <v/>
      </c>
      <c r="K98" s="79">
        <v>9.9089999999999202E-5</v>
      </c>
      <c r="L98" s="71" t="str">
        <f>IF(F98="","",IFERROR(COUNTIFS(tbLancamentos[Equipamento],F98,tbLancamentos[Momento da falha],"&gt;"&amp;0,tbLancamentos[Momento do retorno],""),0))</f>
        <v/>
      </c>
    </row>
    <row r="99" spans="2:12" ht="20.100000000000001" customHeight="1" x14ac:dyDescent="0.25">
      <c r="B99" s="87">
        <v>93</v>
      </c>
      <c r="C99" s="88"/>
      <c r="D99" s="74"/>
      <c r="E99" s="74"/>
      <c r="F99" s="84" t="str">
        <f t="shared" si="1"/>
        <v/>
      </c>
      <c r="G99" s="89" t="str">
        <f>IF(F99="","",VLOOKUP($C99,CadSet!$C$7:$E$26,2,FALSE))</f>
        <v/>
      </c>
      <c r="H99" s="90" t="str">
        <f>IF(G99="","",VLOOKUP($C99,CadSet!$C$7:$E$26,3,FALSE))</f>
        <v/>
      </c>
      <c r="I99" s="91" t="str">
        <f>IF(F99="","",COUNTIFS(tbLancamentos[Equipamento],F99,tbLancamentos[Momento da falha],"&gt;="&amp;Res!$C$9,tbLancamentos[Momento da falha],"&lt;"&amp;Res!$O$9)+K99)</f>
        <v/>
      </c>
      <c r="J99" s="83" t="str">
        <f>IF(F99="","",SUMIFS(tbLancamentos[Tempo indisponível],tbLancamentos[Equipamento],F99,tbLancamentos[Momento da falha],"&gt;="&amp;Res!$C$9,tbLancamentos[Momento da falha],"&lt;"&amp;Res!$O$9)+K99)</f>
        <v/>
      </c>
      <c r="K99" s="79">
        <v>9.9079999999999194E-5</v>
      </c>
      <c r="L99" s="71" t="str">
        <f>IF(F99="","",IFERROR(COUNTIFS(tbLancamentos[Equipamento],F99,tbLancamentos[Momento da falha],"&gt;"&amp;0,tbLancamentos[Momento do retorno],""),0))</f>
        <v/>
      </c>
    </row>
    <row r="100" spans="2:12" ht="20.100000000000001" customHeight="1" x14ac:dyDescent="0.25">
      <c r="B100" s="87">
        <v>94</v>
      </c>
      <c r="C100" s="88"/>
      <c r="D100" s="74"/>
      <c r="E100" s="74"/>
      <c r="F100" s="84" t="str">
        <f t="shared" si="1"/>
        <v/>
      </c>
      <c r="G100" s="89" t="str">
        <f>IF(F100="","",VLOOKUP($C100,CadSet!$C$7:$E$26,2,FALSE))</f>
        <v/>
      </c>
      <c r="H100" s="90" t="str">
        <f>IF(G100="","",VLOOKUP($C100,CadSet!$C$7:$E$26,3,FALSE))</f>
        <v/>
      </c>
      <c r="I100" s="91" t="str">
        <f>IF(F100="","",COUNTIFS(tbLancamentos[Equipamento],F100,tbLancamentos[Momento da falha],"&gt;="&amp;Res!$C$9,tbLancamentos[Momento da falha],"&lt;"&amp;Res!$O$9)+K100)</f>
        <v/>
      </c>
      <c r="J100" s="83" t="str">
        <f>IF(F100="","",SUMIFS(tbLancamentos[Tempo indisponível],tbLancamentos[Equipamento],F100,tbLancamentos[Momento da falha],"&gt;="&amp;Res!$C$9,tbLancamentos[Momento da falha],"&lt;"&amp;Res!$O$9)+K100)</f>
        <v/>
      </c>
      <c r="K100" s="79">
        <v>9.9069999999999199E-5</v>
      </c>
      <c r="L100" s="71" t="str">
        <f>IF(F100="","",IFERROR(COUNTIFS(tbLancamentos[Equipamento],F100,tbLancamentos[Momento da falha],"&gt;"&amp;0,tbLancamentos[Momento do retorno],""),0))</f>
        <v/>
      </c>
    </row>
    <row r="101" spans="2:12" ht="20.100000000000001" customHeight="1" x14ac:dyDescent="0.25">
      <c r="B101" s="87">
        <v>95</v>
      </c>
      <c r="C101" s="88"/>
      <c r="D101" s="74"/>
      <c r="E101" s="74"/>
      <c r="F101" s="84" t="str">
        <f t="shared" si="1"/>
        <v/>
      </c>
      <c r="G101" s="89" t="str">
        <f>IF(F101="","",VLOOKUP($C101,CadSet!$C$7:$E$26,2,FALSE))</f>
        <v/>
      </c>
      <c r="H101" s="90" t="str">
        <f>IF(G101="","",VLOOKUP($C101,CadSet!$C$7:$E$26,3,FALSE))</f>
        <v/>
      </c>
      <c r="I101" s="91" t="str">
        <f>IF(F101="","",COUNTIFS(tbLancamentos[Equipamento],F101,tbLancamentos[Momento da falha],"&gt;="&amp;Res!$C$9,tbLancamentos[Momento da falha],"&lt;"&amp;Res!$O$9)+K101)</f>
        <v/>
      </c>
      <c r="J101" s="83" t="str">
        <f>IF(F101="","",SUMIFS(tbLancamentos[Tempo indisponível],tbLancamentos[Equipamento],F101,tbLancamentos[Momento da falha],"&gt;="&amp;Res!$C$9,tbLancamentos[Momento da falha],"&lt;"&amp;Res!$O$9)+K101)</f>
        <v/>
      </c>
      <c r="K101" s="79">
        <v>9.9059999999999204E-5</v>
      </c>
      <c r="L101" s="71" t="str">
        <f>IF(F101="","",IFERROR(COUNTIFS(tbLancamentos[Equipamento],F101,tbLancamentos[Momento da falha],"&gt;"&amp;0,tbLancamentos[Momento do retorno],""),0))</f>
        <v/>
      </c>
    </row>
    <row r="102" spans="2:12" ht="20.100000000000001" customHeight="1" x14ac:dyDescent="0.25">
      <c r="B102" s="87">
        <v>96</v>
      </c>
      <c r="C102" s="88"/>
      <c r="D102" s="74"/>
      <c r="E102" s="74"/>
      <c r="F102" s="84" t="str">
        <f t="shared" si="1"/>
        <v/>
      </c>
      <c r="G102" s="89" t="str">
        <f>IF(F102="","",VLOOKUP($C102,CadSet!$C$7:$E$26,2,FALSE))</f>
        <v/>
      </c>
      <c r="H102" s="90" t="str">
        <f>IF(G102="","",VLOOKUP($C102,CadSet!$C$7:$E$26,3,FALSE))</f>
        <v/>
      </c>
      <c r="I102" s="91" t="str">
        <f>IF(F102="","",COUNTIFS(tbLancamentos[Equipamento],F102,tbLancamentos[Momento da falha],"&gt;="&amp;Res!$C$9,tbLancamentos[Momento da falha],"&lt;"&amp;Res!$O$9)+K102)</f>
        <v/>
      </c>
      <c r="J102" s="83" t="str">
        <f>IF(F102="","",SUMIFS(tbLancamentos[Tempo indisponível],tbLancamentos[Equipamento],F102,tbLancamentos[Momento da falha],"&gt;="&amp;Res!$C$9,tbLancamentos[Momento da falha],"&lt;"&amp;Res!$O$9)+K102)</f>
        <v/>
      </c>
      <c r="K102" s="79">
        <v>9.9049999999999196E-5</v>
      </c>
      <c r="L102" s="71" t="str">
        <f>IF(F102="","",IFERROR(COUNTIFS(tbLancamentos[Equipamento],F102,tbLancamentos[Momento da falha],"&gt;"&amp;0,tbLancamentos[Momento do retorno],""),0))</f>
        <v/>
      </c>
    </row>
    <row r="103" spans="2:12" ht="20.100000000000001" customHeight="1" x14ac:dyDescent="0.25">
      <c r="B103" s="87">
        <v>97</v>
      </c>
      <c r="C103" s="88"/>
      <c r="D103" s="74"/>
      <c r="E103" s="74"/>
      <c r="F103" s="84" t="str">
        <f t="shared" si="1"/>
        <v/>
      </c>
      <c r="G103" s="89" t="str">
        <f>IF(F103="","",VLOOKUP($C103,CadSet!$C$7:$E$26,2,FALSE))</f>
        <v/>
      </c>
      <c r="H103" s="90" t="str">
        <f>IF(G103="","",VLOOKUP($C103,CadSet!$C$7:$E$26,3,FALSE))</f>
        <v/>
      </c>
      <c r="I103" s="91" t="str">
        <f>IF(F103="","",COUNTIFS(tbLancamentos[Equipamento],F103,tbLancamentos[Momento da falha],"&gt;="&amp;Res!$C$9,tbLancamentos[Momento da falha],"&lt;"&amp;Res!$O$9)+K103)</f>
        <v/>
      </c>
      <c r="J103" s="83" t="str">
        <f>IF(F103="","",SUMIFS(tbLancamentos[Tempo indisponível],tbLancamentos[Equipamento],F103,tbLancamentos[Momento da falha],"&gt;="&amp;Res!$C$9,tbLancamentos[Momento da falha],"&lt;"&amp;Res!$O$9)+K103)</f>
        <v/>
      </c>
      <c r="K103" s="79">
        <v>9.9039999999999201E-5</v>
      </c>
      <c r="L103" s="71" t="str">
        <f>IF(F103="","",IFERROR(COUNTIFS(tbLancamentos[Equipamento],F103,tbLancamentos[Momento da falha],"&gt;"&amp;0,tbLancamentos[Momento do retorno],""),0))</f>
        <v/>
      </c>
    </row>
    <row r="104" spans="2:12" ht="20.100000000000001" customHeight="1" x14ac:dyDescent="0.25">
      <c r="B104" s="87">
        <v>98</v>
      </c>
      <c r="C104" s="88"/>
      <c r="D104" s="74"/>
      <c r="E104" s="74"/>
      <c r="F104" s="84" t="str">
        <f t="shared" si="1"/>
        <v/>
      </c>
      <c r="G104" s="89" t="str">
        <f>IF(F104="","",VLOOKUP($C104,CadSet!$C$7:$E$26,2,FALSE))</f>
        <v/>
      </c>
      <c r="H104" s="90" t="str">
        <f>IF(G104="","",VLOOKUP($C104,CadSet!$C$7:$E$26,3,FALSE))</f>
        <v/>
      </c>
      <c r="I104" s="91" t="str">
        <f>IF(F104="","",COUNTIFS(tbLancamentos[Equipamento],F104,tbLancamentos[Momento da falha],"&gt;="&amp;Res!$C$9,tbLancamentos[Momento da falha],"&lt;"&amp;Res!$O$9)+K104)</f>
        <v/>
      </c>
      <c r="J104" s="83" t="str">
        <f>IF(F104="","",SUMIFS(tbLancamentos[Tempo indisponível],tbLancamentos[Equipamento],F104,tbLancamentos[Momento da falha],"&gt;="&amp;Res!$C$9,tbLancamentos[Momento da falha],"&lt;"&amp;Res!$O$9)+K104)</f>
        <v/>
      </c>
      <c r="K104" s="79">
        <v>9.9029999999999206E-5</v>
      </c>
      <c r="L104" s="71" t="str">
        <f>IF(F104="","",IFERROR(COUNTIFS(tbLancamentos[Equipamento],F104,tbLancamentos[Momento da falha],"&gt;"&amp;0,tbLancamentos[Momento do retorno],""),0))</f>
        <v/>
      </c>
    </row>
    <row r="105" spans="2:12" ht="20.100000000000001" customHeight="1" x14ac:dyDescent="0.25">
      <c r="B105" s="87">
        <v>99</v>
      </c>
      <c r="C105" s="88"/>
      <c r="D105" s="74"/>
      <c r="E105" s="74"/>
      <c r="F105" s="84" t="str">
        <f t="shared" si="1"/>
        <v/>
      </c>
      <c r="G105" s="89" t="str">
        <f>IF(F105="","",VLOOKUP($C105,CadSet!$C$7:$E$26,2,FALSE))</f>
        <v/>
      </c>
      <c r="H105" s="90" t="str">
        <f>IF(G105="","",VLOOKUP($C105,CadSet!$C$7:$E$26,3,FALSE))</f>
        <v/>
      </c>
      <c r="I105" s="91" t="str">
        <f>IF(F105="","",COUNTIFS(tbLancamentos[Equipamento],F105,tbLancamentos[Momento da falha],"&gt;="&amp;Res!$C$9,tbLancamentos[Momento da falha],"&lt;"&amp;Res!$O$9)+K105)</f>
        <v/>
      </c>
      <c r="J105" s="83" t="str">
        <f>IF(F105="","",SUMIFS(tbLancamentos[Tempo indisponível],tbLancamentos[Equipamento],F105,tbLancamentos[Momento da falha],"&gt;="&amp;Res!$C$9,tbLancamentos[Momento da falha],"&lt;"&amp;Res!$O$9)+K105)</f>
        <v/>
      </c>
      <c r="K105" s="79">
        <v>9.9019999999999198E-5</v>
      </c>
      <c r="L105" s="71" t="str">
        <f>IF(F105="","",IFERROR(COUNTIFS(tbLancamentos[Equipamento],F105,tbLancamentos[Momento da falha],"&gt;"&amp;0,tbLancamentos[Momento do retorno],""),0))</f>
        <v/>
      </c>
    </row>
    <row r="106" spans="2:12" ht="20.100000000000001" customHeight="1" x14ac:dyDescent="0.25">
      <c r="B106" s="87">
        <v>100</v>
      </c>
      <c r="C106" s="88"/>
      <c r="D106" s="74"/>
      <c r="E106" s="74"/>
      <c r="F106" s="84" t="str">
        <f t="shared" si="1"/>
        <v/>
      </c>
      <c r="G106" s="89" t="str">
        <f>IF(F106="","",VLOOKUP($C106,CadSet!$C$7:$E$26,2,FALSE))</f>
        <v/>
      </c>
      <c r="H106" s="90" t="str">
        <f>IF(G106="","",VLOOKUP($C106,CadSet!$C$7:$E$26,3,FALSE))</f>
        <v/>
      </c>
      <c r="I106" s="91" t="str">
        <f>IF(F106="","",COUNTIFS(tbLancamentos[Equipamento],F106,tbLancamentos[Momento da falha],"&gt;="&amp;Res!$C$9,tbLancamentos[Momento da falha],"&lt;"&amp;Res!$O$9)+K106)</f>
        <v/>
      </c>
      <c r="J106" s="83" t="str">
        <f>IF(F106="","",SUMIFS(tbLancamentos[Tempo indisponível],tbLancamentos[Equipamento],F106,tbLancamentos[Momento da falha],"&gt;="&amp;Res!$C$9,tbLancamentos[Momento da falha],"&lt;"&amp;Res!$O$9)+K106)</f>
        <v/>
      </c>
      <c r="K106" s="79">
        <v>9.9009999999999203E-5</v>
      </c>
      <c r="L106" s="71" t="str">
        <f>IF(F106="","",IFERROR(COUNTIFS(tbLancamentos[Equipamento],F106,tbLancamentos[Momento da falha],"&gt;"&amp;0,tbLancamentos[Momento do retorno],""),0))</f>
        <v/>
      </c>
    </row>
    <row r="107" spans="2:12" ht="20.100000000000001" customHeight="1" x14ac:dyDescent="0.25">
      <c r="B107" s="87">
        <v>101</v>
      </c>
      <c r="C107" s="88"/>
      <c r="D107" s="74"/>
      <c r="E107" s="74"/>
      <c r="F107" s="84" t="str">
        <f t="shared" si="1"/>
        <v/>
      </c>
      <c r="G107" s="89" t="str">
        <f>IF(F107="","",VLOOKUP($C107,CadSet!$C$7:$E$26,2,FALSE))</f>
        <v/>
      </c>
      <c r="H107" s="90" t="str">
        <f>IF(G107="","",VLOOKUP($C107,CadSet!$C$7:$E$26,3,FALSE))</f>
        <v/>
      </c>
      <c r="I107" s="91" t="str">
        <f>IF(F107="","",COUNTIFS(tbLancamentos[Equipamento],F107,tbLancamentos[Momento da falha],"&gt;="&amp;Res!$C$9,tbLancamentos[Momento da falha],"&lt;"&amp;Res!$O$9)+K107)</f>
        <v/>
      </c>
      <c r="J107" s="83" t="str">
        <f>IF(F107="","",SUMIFS(tbLancamentos[Tempo indisponível],tbLancamentos[Equipamento],F107,tbLancamentos[Momento da falha],"&gt;="&amp;Res!$C$9,tbLancamentos[Momento da falha],"&lt;"&amp;Res!$O$9)+K107)</f>
        <v/>
      </c>
      <c r="K107" s="79">
        <v>9.8999999999999194E-5</v>
      </c>
      <c r="L107" s="71" t="str">
        <f>IF(F107="","",IFERROR(COUNTIFS(tbLancamentos[Equipamento],F107,tbLancamentos[Momento da falha],"&gt;"&amp;0,tbLancamentos[Momento do retorno],""),0))</f>
        <v/>
      </c>
    </row>
    <row r="108" spans="2:12" ht="20.100000000000001" customHeight="1" x14ac:dyDescent="0.25">
      <c r="B108" s="87">
        <v>102</v>
      </c>
      <c r="C108" s="88"/>
      <c r="D108" s="74"/>
      <c r="E108" s="74"/>
      <c r="F108" s="84" t="str">
        <f t="shared" si="1"/>
        <v/>
      </c>
      <c r="G108" s="89" t="str">
        <f>IF(F108="","",VLOOKUP($C108,CadSet!$C$7:$E$26,2,FALSE))</f>
        <v/>
      </c>
      <c r="H108" s="90" t="str">
        <f>IF(G108="","",VLOOKUP($C108,CadSet!$C$7:$E$26,3,FALSE))</f>
        <v/>
      </c>
      <c r="I108" s="91" t="str">
        <f>IF(F108="","",COUNTIFS(tbLancamentos[Equipamento],F108,tbLancamentos[Momento da falha],"&gt;="&amp;Res!$C$9,tbLancamentos[Momento da falha],"&lt;"&amp;Res!$O$9)+K108)</f>
        <v/>
      </c>
      <c r="J108" s="83" t="str">
        <f>IF(F108="","",SUMIFS(tbLancamentos[Tempo indisponível],tbLancamentos[Equipamento],F108,tbLancamentos[Momento da falha],"&gt;="&amp;Res!$C$9,tbLancamentos[Momento da falha],"&lt;"&amp;Res!$O$9)+K108)</f>
        <v/>
      </c>
      <c r="K108" s="79">
        <v>9.89899999999992E-5</v>
      </c>
      <c r="L108" s="71" t="str">
        <f>IF(F108="","",IFERROR(COUNTIFS(tbLancamentos[Equipamento],F108,tbLancamentos[Momento da falha],"&gt;"&amp;0,tbLancamentos[Momento do retorno],""),0))</f>
        <v/>
      </c>
    </row>
    <row r="109" spans="2:12" ht="20.100000000000001" customHeight="1" x14ac:dyDescent="0.25">
      <c r="B109" s="87">
        <v>103</v>
      </c>
      <c r="C109" s="88"/>
      <c r="D109" s="74"/>
      <c r="E109" s="74"/>
      <c r="F109" s="84" t="str">
        <f t="shared" si="1"/>
        <v/>
      </c>
      <c r="G109" s="89" t="str">
        <f>IF(F109="","",VLOOKUP($C109,CadSet!$C$7:$E$26,2,FALSE))</f>
        <v/>
      </c>
      <c r="H109" s="90" t="str">
        <f>IF(G109="","",VLOOKUP($C109,CadSet!$C$7:$E$26,3,FALSE))</f>
        <v/>
      </c>
      <c r="I109" s="91" t="str">
        <f>IF(F109="","",COUNTIFS(tbLancamentos[Equipamento],F109,tbLancamentos[Momento da falha],"&gt;="&amp;Res!$C$9,tbLancamentos[Momento da falha],"&lt;"&amp;Res!$O$9)+K109)</f>
        <v/>
      </c>
      <c r="J109" s="83" t="str">
        <f>IF(F109="","",SUMIFS(tbLancamentos[Tempo indisponível],tbLancamentos[Equipamento],F109,tbLancamentos[Momento da falha],"&gt;="&amp;Res!$C$9,tbLancamentos[Momento da falha],"&lt;"&amp;Res!$O$9)+K109)</f>
        <v/>
      </c>
      <c r="K109" s="79">
        <v>9.8979999999999205E-5</v>
      </c>
      <c r="L109" s="71" t="str">
        <f>IF(F109="","",IFERROR(COUNTIFS(tbLancamentos[Equipamento],F109,tbLancamentos[Momento da falha],"&gt;"&amp;0,tbLancamentos[Momento do retorno],""),0))</f>
        <v/>
      </c>
    </row>
    <row r="110" spans="2:12" ht="20.100000000000001" customHeight="1" x14ac:dyDescent="0.25">
      <c r="B110" s="87">
        <v>104</v>
      </c>
      <c r="C110" s="88"/>
      <c r="D110" s="74"/>
      <c r="E110" s="74"/>
      <c r="F110" s="84" t="str">
        <f t="shared" si="1"/>
        <v/>
      </c>
      <c r="G110" s="89" t="str">
        <f>IF(F110="","",VLOOKUP($C110,CadSet!$C$7:$E$26,2,FALSE))</f>
        <v/>
      </c>
      <c r="H110" s="90" t="str">
        <f>IF(G110="","",VLOOKUP($C110,CadSet!$C$7:$E$26,3,FALSE))</f>
        <v/>
      </c>
      <c r="I110" s="91" t="str">
        <f>IF(F110="","",COUNTIFS(tbLancamentos[Equipamento],F110,tbLancamentos[Momento da falha],"&gt;="&amp;Res!$C$9,tbLancamentos[Momento da falha],"&lt;"&amp;Res!$O$9)+K110)</f>
        <v/>
      </c>
      <c r="J110" s="83" t="str">
        <f>IF(F110="","",SUMIFS(tbLancamentos[Tempo indisponível],tbLancamentos[Equipamento],F110,tbLancamentos[Momento da falha],"&gt;="&amp;Res!$C$9,tbLancamentos[Momento da falha],"&lt;"&amp;Res!$O$9)+K110)</f>
        <v/>
      </c>
      <c r="K110" s="79">
        <v>9.8969999999999102E-5</v>
      </c>
      <c r="L110" s="71" t="str">
        <f>IF(F110="","",IFERROR(COUNTIFS(tbLancamentos[Equipamento],F110,tbLancamentos[Momento da falha],"&gt;"&amp;0,tbLancamentos[Momento do retorno],""),0))</f>
        <v/>
      </c>
    </row>
    <row r="111" spans="2:12" ht="20.100000000000001" customHeight="1" x14ac:dyDescent="0.25">
      <c r="B111" s="87">
        <v>105</v>
      </c>
      <c r="C111" s="88"/>
      <c r="D111" s="74"/>
      <c r="E111" s="74"/>
      <c r="F111" s="84" t="str">
        <f t="shared" si="1"/>
        <v/>
      </c>
      <c r="G111" s="89" t="str">
        <f>IF(F111="","",VLOOKUP($C111,CadSet!$C$7:$E$26,2,FALSE))</f>
        <v/>
      </c>
      <c r="H111" s="90" t="str">
        <f>IF(G111="","",VLOOKUP($C111,CadSet!$C$7:$E$26,3,FALSE))</f>
        <v/>
      </c>
      <c r="I111" s="91" t="str">
        <f>IF(F111="","",COUNTIFS(tbLancamentos[Equipamento],F111,tbLancamentos[Momento da falha],"&gt;="&amp;Res!$C$9,tbLancamentos[Momento da falha],"&lt;"&amp;Res!$O$9)+K111)</f>
        <v/>
      </c>
      <c r="J111" s="83" t="str">
        <f>IF(F111="","",SUMIFS(tbLancamentos[Tempo indisponível],tbLancamentos[Equipamento],F111,tbLancamentos[Momento da falha],"&gt;="&amp;Res!$C$9,tbLancamentos[Momento da falha],"&lt;"&amp;Res!$O$9)+K111)</f>
        <v/>
      </c>
      <c r="K111" s="79">
        <v>9.8959999999999107E-5</v>
      </c>
      <c r="L111" s="71" t="str">
        <f>IF(F111="","",IFERROR(COUNTIFS(tbLancamentos[Equipamento],F111,tbLancamentos[Momento da falha],"&gt;"&amp;0,tbLancamentos[Momento do retorno],""),0))</f>
        <v/>
      </c>
    </row>
    <row r="112" spans="2:12" ht="20.100000000000001" customHeight="1" x14ac:dyDescent="0.25">
      <c r="B112" s="87">
        <v>106</v>
      </c>
      <c r="C112" s="88"/>
      <c r="D112" s="74"/>
      <c r="E112" s="74"/>
      <c r="F112" s="84" t="str">
        <f t="shared" si="1"/>
        <v/>
      </c>
      <c r="G112" s="89" t="str">
        <f>IF(F112="","",VLOOKUP($C112,CadSet!$C$7:$E$26,2,FALSE))</f>
        <v/>
      </c>
      <c r="H112" s="90" t="str">
        <f>IF(G112="","",VLOOKUP($C112,CadSet!$C$7:$E$26,3,FALSE))</f>
        <v/>
      </c>
      <c r="I112" s="91" t="str">
        <f>IF(F112="","",COUNTIFS(tbLancamentos[Equipamento],F112,tbLancamentos[Momento da falha],"&gt;="&amp;Res!$C$9,tbLancamentos[Momento da falha],"&lt;"&amp;Res!$O$9)+K112)</f>
        <v/>
      </c>
      <c r="J112" s="83" t="str">
        <f>IF(F112="","",SUMIFS(tbLancamentos[Tempo indisponível],tbLancamentos[Equipamento],F112,tbLancamentos[Momento da falha],"&gt;="&amp;Res!$C$9,tbLancamentos[Momento da falha],"&lt;"&amp;Res!$O$9)+K112)</f>
        <v/>
      </c>
      <c r="K112" s="79">
        <v>9.8949999999999098E-5</v>
      </c>
      <c r="L112" s="71" t="str">
        <f>IF(F112="","",IFERROR(COUNTIFS(tbLancamentos[Equipamento],F112,tbLancamentos[Momento da falha],"&gt;"&amp;0,tbLancamentos[Momento do retorno],""),0))</f>
        <v/>
      </c>
    </row>
    <row r="113" spans="2:12" ht="20.100000000000001" customHeight="1" x14ac:dyDescent="0.25">
      <c r="B113" s="87">
        <v>107</v>
      </c>
      <c r="C113" s="88"/>
      <c r="D113" s="74"/>
      <c r="E113" s="74"/>
      <c r="F113" s="84" t="str">
        <f t="shared" si="1"/>
        <v/>
      </c>
      <c r="G113" s="89" t="str">
        <f>IF(F113="","",VLOOKUP($C113,CadSet!$C$7:$E$26,2,FALSE))</f>
        <v/>
      </c>
      <c r="H113" s="90" t="str">
        <f>IF(G113="","",VLOOKUP($C113,CadSet!$C$7:$E$26,3,FALSE))</f>
        <v/>
      </c>
      <c r="I113" s="91" t="str">
        <f>IF(F113="","",COUNTIFS(tbLancamentos[Equipamento],F113,tbLancamentos[Momento da falha],"&gt;="&amp;Res!$C$9,tbLancamentos[Momento da falha],"&lt;"&amp;Res!$O$9)+K113)</f>
        <v/>
      </c>
      <c r="J113" s="83" t="str">
        <f>IF(F113="","",SUMIFS(tbLancamentos[Tempo indisponível],tbLancamentos[Equipamento],F113,tbLancamentos[Momento da falha],"&gt;="&amp;Res!$C$9,tbLancamentos[Momento da falha],"&lt;"&amp;Res!$O$9)+K113)</f>
        <v/>
      </c>
      <c r="K113" s="79">
        <v>9.8939999999999104E-5</v>
      </c>
      <c r="L113" s="71" t="str">
        <f>IF(F113="","",IFERROR(COUNTIFS(tbLancamentos[Equipamento],F113,tbLancamentos[Momento da falha],"&gt;"&amp;0,tbLancamentos[Momento do retorno],""),0))</f>
        <v/>
      </c>
    </row>
    <row r="114" spans="2:12" ht="20.100000000000001" customHeight="1" x14ac:dyDescent="0.25">
      <c r="B114" s="87">
        <v>108</v>
      </c>
      <c r="C114" s="88"/>
      <c r="D114" s="74"/>
      <c r="E114" s="74"/>
      <c r="F114" s="84" t="str">
        <f t="shared" si="1"/>
        <v/>
      </c>
      <c r="G114" s="89" t="str">
        <f>IF(F114="","",VLOOKUP($C114,CadSet!$C$7:$E$26,2,FALSE))</f>
        <v/>
      </c>
      <c r="H114" s="90" t="str">
        <f>IF(G114="","",VLOOKUP($C114,CadSet!$C$7:$E$26,3,FALSE))</f>
        <v/>
      </c>
      <c r="I114" s="91" t="str">
        <f>IF(F114="","",COUNTIFS(tbLancamentos[Equipamento],F114,tbLancamentos[Momento da falha],"&gt;="&amp;Res!$C$9,tbLancamentos[Momento da falha],"&lt;"&amp;Res!$O$9)+K114)</f>
        <v/>
      </c>
      <c r="J114" s="83" t="str">
        <f>IF(F114="","",SUMIFS(tbLancamentos[Tempo indisponível],tbLancamentos[Equipamento],F114,tbLancamentos[Momento da falha],"&gt;="&amp;Res!$C$9,tbLancamentos[Momento da falha],"&lt;"&amp;Res!$O$9)+K114)</f>
        <v/>
      </c>
      <c r="K114" s="79">
        <v>9.8929999999999095E-5</v>
      </c>
      <c r="L114" s="71" t="str">
        <f>IF(F114="","",IFERROR(COUNTIFS(tbLancamentos[Equipamento],F114,tbLancamentos[Momento da falha],"&gt;"&amp;0,tbLancamentos[Momento do retorno],""),0))</f>
        <v/>
      </c>
    </row>
    <row r="115" spans="2:12" ht="20.100000000000001" customHeight="1" x14ac:dyDescent="0.25">
      <c r="B115" s="87">
        <v>109</v>
      </c>
      <c r="C115" s="88"/>
      <c r="D115" s="74"/>
      <c r="E115" s="74"/>
      <c r="F115" s="84" t="str">
        <f t="shared" si="1"/>
        <v/>
      </c>
      <c r="G115" s="89" t="str">
        <f>IF(F115="","",VLOOKUP($C115,CadSet!$C$7:$E$26,2,FALSE))</f>
        <v/>
      </c>
      <c r="H115" s="90" t="str">
        <f>IF(G115="","",VLOOKUP($C115,CadSet!$C$7:$E$26,3,FALSE))</f>
        <v/>
      </c>
      <c r="I115" s="91" t="str">
        <f>IF(F115="","",COUNTIFS(tbLancamentos[Equipamento],F115,tbLancamentos[Momento da falha],"&gt;="&amp;Res!$C$9,tbLancamentos[Momento da falha],"&lt;"&amp;Res!$O$9)+K115)</f>
        <v/>
      </c>
      <c r="J115" s="83" t="str">
        <f>IF(F115="","",SUMIFS(tbLancamentos[Tempo indisponível],tbLancamentos[Equipamento],F115,tbLancamentos[Momento da falha],"&gt;="&amp;Res!$C$9,tbLancamentos[Momento da falha],"&lt;"&amp;Res!$O$9)+K115)</f>
        <v/>
      </c>
      <c r="K115" s="79">
        <v>9.89199999999991E-5</v>
      </c>
      <c r="L115" s="71" t="str">
        <f>IF(F115="","",IFERROR(COUNTIFS(tbLancamentos[Equipamento],F115,tbLancamentos[Momento da falha],"&gt;"&amp;0,tbLancamentos[Momento do retorno],""),0))</f>
        <v/>
      </c>
    </row>
    <row r="116" spans="2:12" ht="20.100000000000001" customHeight="1" x14ac:dyDescent="0.25">
      <c r="B116" s="87">
        <v>110</v>
      </c>
      <c r="C116" s="88"/>
      <c r="D116" s="74"/>
      <c r="E116" s="74"/>
      <c r="F116" s="84" t="str">
        <f t="shared" si="1"/>
        <v/>
      </c>
      <c r="G116" s="89" t="str">
        <f>IF(F116="","",VLOOKUP($C116,CadSet!$C$7:$E$26,2,FALSE))</f>
        <v/>
      </c>
      <c r="H116" s="90" t="str">
        <f>IF(G116="","",VLOOKUP($C116,CadSet!$C$7:$E$26,3,FALSE))</f>
        <v/>
      </c>
      <c r="I116" s="91" t="str">
        <f>IF(F116="","",COUNTIFS(tbLancamentos[Equipamento],F116,tbLancamentos[Momento da falha],"&gt;="&amp;Res!$C$9,tbLancamentos[Momento da falha],"&lt;"&amp;Res!$O$9)+K116)</f>
        <v/>
      </c>
      <c r="J116" s="83" t="str">
        <f>IF(F116="","",SUMIFS(tbLancamentos[Tempo indisponível],tbLancamentos[Equipamento],F116,tbLancamentos[Momento da falha],"&gt;="&amp;Res!$C$9,tbLancamentos[Momento da falha],"&lt;"&amp;Res!$O$9)+K116)</f>
        <v/>
      </c>
      <c r="K116" s="79">
        <v>9.8909999999999106E-5</v>
      </c>
      <c r="L116" s="71" t="str">
        <f>IF(F116="","",IFERROR(COUNTIFS(tbLancamentos[Equipamento],F116,tbLancamentos[Momento da falha],"&gt;"&amp;0,tbLancamentos[Momento do retorno],""),0))</f>
        <v/>
      </c>
    </row>
    <row r="117" spans="2:12" ht="20.100000000000001" customHeight="1" x14ac:dyDescent="0.25">
      <c r="B117" s="87">
        <v>111</v>
      </c>
      <c r="C117" s="88"/>
      <c r="D117" s="74"/>
      <c r="E117" s="74"/>
      <c r="F117" s="84" t="str">
        <f t="shared" si="1"/>
        <v/>
      </c>
      <c r="G117" s="89" t="str">
        <f>IF(F117="","",VLOOKUP($C117,CadSet!$C$7:$E$26,2,FALSE))</f>
        <v/>
      </c>
      <c r="H117" s="90" t="str">
        <f>IF(G117="","",VLOOKUP($C117,CadSet!$C$7:$E$26,3,FALSE))</f>
        <v/>
      </c>
      <c r="I117" s="91" t="str">
        <f>IF(F117="","",COUNTIFS(tbLancamentos[Equipamento],F117,tbLancamentos[Momento da falha],"&gt;="&amp;Res!$C$9,tbLancamentos[Momento da falha],"&lt;"&amp;Res!$O$9)+K117)</f>
        <v/>
      </c>
      <c r="J117" s="83" t="str">
        <f>IF(F117="","",SUMIFS(tbLancamentos[Tempo indisponível],tbLancamentos[Equipamento],F117,tbLancamentos[Momento da falha],"&gt;="&amp;Res!$C$9,tbLancamentos[Momento da falha],"&lt;"&amp;Res!$O$9)+K117)</f>
        <v/>
      </c>
      <c r="K117" s="79">
        <v>9.8899999999999097E-5</v>
      </c>
      <c r="L117" s="71" t="str">
        <f>IF(F117="","",IFERROR(COUNTIFS(tbLancamentos[Equipamento],F117,tbLancamentos[Momento da falha],"&gt;"&amp;0,tbLancamentos[Momento do retorno],""),0))</f>
        <v/>
      </c>
    </row>
    <row r="118" spans="2:12" ht="20.100000000000001" customHeight="1" x14ac:dyDescent="0.25">
      <c r="B118" s="87">
        <v>112</v>
      </c>
      <c r="C118" s="88"/>
      <c r="D118" s="74"/>
      <c r="E118" s="74"/>
      <c r="F118" s="84" t="str">
        <f t="shared" si="1"/>
        <v/>
      </c>
      <c r="G118" s="89" t="str">
        <f>IF(F118="","",VLOOKUP($C118,CadSet!$C$7:$E$26,2,FALSE))</f>
        <v/>
      </c>
      <c r="H118" s="90" t="str">
        <f>IF(G118="","",VLOOKUP($C118,CadSet!$C$7:$E$26,3,FALSE))</f>
        <v/>
      </c>
      <c r="I118" s="91" t="str">
        <f>IF(F118="","",COUNTIFS(tbLancamentos[Equipamento],F118,tbLancamentos[Momento da falha],"&gt;="&amp;Res!$C$9,tbLancamentos[Momento da falha],"&lt;"&amp;Res!$O$9)+K118)</f>
        <v/>
      </c>
      <c r="J118" s="83" t="str">
        <f>IF(F118="","",SUMIFS(tbLancamentos[Tempo indisponível],tbLancamentos[Equipamento],F118,tbLancamentos[Momento da falha],"&gt;="&amp;Res!$C$9,tbLancamentos[Momento da falha],"&lt;"&amp;Res!$O$9)+K118)</f>
        <v/>
      </c>
      <c r="K118" s="79">
        <v>9.8889999999999102E-5</v>
      </c>
      <c r="L118" s="71" t="str">
        <f>IF(F118="","",IFERROR(COUNTIFS(tbLancamentos[Equipamento],F118,tbLancamentos[Momento da falha],"&gt;"&amp;0,tbLancamentos[Momento do retorno],""),0))</f>
        <v/>
      </c>
    </row>
    <row r="119" spans="2:12" ht="20.100000000000001" customHeight="1" x14ac:dyDescent="0.25">
      <c r="B119" s="87">
        <v>113</v>
      </c>
      <c r="C119" s="88"/>
      <c r="D119" s="74"/>
      <c r="E119" s="74"/>
      <c r="F119" s="84" t="str">
        <f t="shared" si="1"/>
        <v/>
      </c>
      <c r="G119" s="89" t="str">
        <f>IF(F119="","",VLOOKUP($C119,CadSet!$C$7:$E$26,2,FALSE))</f>
        <v/>
      </c>
      <c r="H119" s="90" t="str">
        <f>IF(G119="","",VLOOKUP($C119,CadSet!$C$7:$E$26,3,FALSE))</f>
        <v/>
      </c>
      <c r="I119" s="91" t="str">
        <f>IF(F119="","",COUNTIFS(tbLancamentos[Equipamento],F119,tbLancamentos[Momento da falha],"&gt;="&amp;Res!$C$9,tbLancamentos[Momento da falha],"&lt;"&amp;Res!$O$9)+K119)</f>
        <v/>
      </c>
      <c r="J119" s="83" t="str">
        <f>IF(F119="","",SUMIFS(tbLancamentos[Tempo indisponível],tbLancamentos[Equipamento],F119,tbLancamentos[Momento da falha],"&gt;="&amp;Res!$C$9,tbLancamentos[Momento da falha],"&lt;"&amp;Res!$O$9)+K119)</f>
        <v/>
      </c>
      <c r="K119" s="79">
        <v>9.8879999999999094E-5</v>
      </c>
      <c r="L119" s="71" t="str">
        <f>IF(F119="","",IFERROR(COUNTIFS(tbLancamentos[Equipamento],F119,tbLancamentos[Momento da falha],"&gt;"&amp;0,tbLancamentos[Momento do retorno],""),0))</f>
        <v/>
      </c>
    </row>
    <row r="120" spans="2:12" ht="20.100000000000001" customHeight="1" x14ac:dyDescent="0.25">
      <c r="B120" s="87">
        <v>114</v>
      </c>
      <c r="C120" s="88"/>
      <c r="D120" s="74"/>
      <c r="E120" s="74"/>
      <c r="F120" s="84" t="str">
        <f t="shared" si="1"/>
        <v/>
      </c>
      <c r="G120" s="89" t="str">
        <f>IF(F120="","",VLOOKUP($C120,CadSet!$C$7:$E$26,2,FALSE))</f>
        <v/>
      </c>
      <c r="H120" s="90" t="str">
        <f>IF(G120="","",VLOOKUP($C120,CadSet!$C$7:$E$26,3,FALSE))</f>
        <v/>
      </c>
      <c r="I120" s="91" t="str">
        <f>IF(F120="","",COUNTIFS(tbLancamentos[Equipamento],F120,tbLancamentos[Momento da falha],"&gt;="&amp;Res!$C$9,tbLancamentos[Momento da falha],"&lt;"&amp;Res!$O$9)+K120)</f>
        <v/>
      </c>
      <c r="J120" s="83" t="str">
        <f>IF(F120="","",SUMIFS(tbLancamentos[Tempo indisponível],tbLancamentos[Equipamento],F120,tbLancamentos[Momento da falha],"&gt;="&amp;Res!$C$9,tbLancamentos[Momento da falha],"&lt;"&amp;Res!$O$9)+K120)</f>
        <v/>
      </c>
      <c r="K120" s="79">
        <v>9.8869999999999099E-5</v>
      </c>
      <c r="L120" s="71" t="str">
        <f>IF(F120="","",IFERROR(COUNTIFS(tbLancamentos[Equipamento],F120,tbLancamentos[Momento da falha],"&gt;"&amp;0,tbLancamentos[Momento do retorno],""),0))</f>
        <v/>
      </c>
    </row>
    <row r="121" spans="2:12" ht="20.100000000000001" customHeight="1" x14ac:dyDescent="0.25">
      <c r="B121" s="87">
        <v>115</v>
      </c>
      <c r="C121" s="88"/>
      <c r="D121" s="74"/>
      <c r="E121" s="74"/>
      <c r="F121" s="84" t="str">
        <f t="shared" si="1"/>
        <v/>
      </c>
      <c r="G121" s="89" t="str">
        <f>IF(F121="","",VLOOKUP($C121,CadSet!$C$7:$E$26,2,FALSE))</f>
        <v/>
      </c>
      <c r="H121" s="90" t="str">
        <f>IF(G121="","",VLOOKUP($C121,CadSet!$C$7:$E$26,3,FALSE))</f>
        <v/>
      </c>
      <c r="I121" s="91" t="str">
        <f>IF(F121="","",COUNTIFS(tbLancamentos[Equipamento],F121,tbLancamentos[Momento da falha],"&gt;="&amp;Res!$C$9,tbLancamentos[Momento da falha],"&lt;"&amp;Res!$O$9)+K121)</f>
        <v/>
      </c>
      <c r="J121" s="83" t="str">
        <f>IF(F121="","",SUMIFS(tbLancamentos[Tempo indisponível],tbLancamentos[Equipamento],F121,tbLancamentos[Momento da falha],"&gt;="&amp;Res!$C$9,tbLancamentos[Momento da falha],"&lt;"&amp;Res!$O$9)+K121)</f>
        <v/>
      </c>
      <c r="K121" s="79">
        <v>9.8859999999999104E-5</v>
      </c>
      <c r="L121" s="71" t="str">
        <f>IF(F121="","",IFERROR(COUNTIFS(tbLancamentos[Equipamento],F121,tbLancamentos[Momento da falha],"&gt;"&amp;0,tbLancamentos[Momento do retorno],""),0))</f>
        <v/>
      </c>
    </row>
    <row r="122" spans="2:12" ht="20.100000000000001" customHeight="1" x14ac:dyDescent="0.25">
      <c r="B122" s="87">
        <v>116</v>
      </c>
      <c r="C122" s="88"/>
      <c r="D122" s="74"/>
      <c r="E122" s="74"/>
      <c r="F122" s="84" t="str">
        <f t="shared" si="1"/>
        <v/>
      </c>
      <c r="G122" s="89" t="str">
        <f>IF(F122="","",VLOOKUP($C122,CadSet!$C$7:$E$26,2,FALSE))</f>
        <v/>
      </c>
      <c r="H122" s="90" t="str">
        <f>IF(G122="","",VLOOKUP($C122,CadSet!$C$7:$E$26,3,FALSE))</f>
        <v/>
      </c>
      <c r="I122" s="91" t="str">
        <f>IF(F122="","",COUNTIFS(tbLancamentos[Equipamento],F122,tbLancamentos[Momento da falha],"&gt;="&amp;Res!$C$9,tbLancamentos[Momento da falha],"&lt;"&amp;Res!$O$9)+K122)</f>
        <v/>
      </c>
      <c r="J122" s="83" t="str">
        <f>IF(F122="","",SUMIFS(tbLancamentos[Tempo indisponível],tbLancamentos[Equipamento],F122,tbLancamentos[Momento da falha],"&gt;="&amp;Res!$C$9,tbLancamentos[Momento da falha],"&lt;"&amp;Res!$O$9)+K122)</f>
        <v/>
      </c>
      <c r="K122" s="79">
        <v>9.8849999999999001E-5</v>
      </c>
      <c r="L122" s="71" t="str">
        <f>IF(F122="","",IFERROR(COUNTIFS(tbLancamentos[Equipamento],F122,tbLancamentos[Momento da falha],"&gt;"&amp;0,tbLancamentos[Momento do retorno],""),0))</f>
        <v/>
      </c>
    </row>
    <row r="123" spans="2:12" ht="20.100000000000001" customHeight="1" x14ac:dyDescent="0.25">
      <c r="B123" s="87">
        <v>117</v>
      </c>
      <c r="C123" s="88"/>
      <c r="D123" s="74"/>
      <c r="E123" s="74"/>
      <c r="F123" s="84" t="str">
        <f t="shared" si="1"/>
        <v/>
      </c>
      <c r="G123" s="89" t="str">
        <f>IF(F123="","",VLOOKUP($C123,CadSet!$C$7:$E$26,2,FALSE))</f>
        <v/>
      </c>
      <c r="H123" s="90" t="str">
        <f>IF(G123="","",VLOOKUP($C123,CadSet!$C$7:$E$26,3,FALSE))</f>
        <v/>
      </c>
      <c r="I123" s="91" t="str">
        <f>IF(F123="","",COUNTIFS(tbLancamentos[Equipamento],F123,tbLancamentos[Momento da falha],"&gt;="&amp;Res!$C$9,tbLancamentos[Momento da falha],"&lt;"&amp;Res!$O$9)+K123)</f>
        <v/>
      </c>
      <c r="J123" s="83" t="str">
        <f>IF(F123="","",SUMIFS(tbLancamentos[Tempo indisponível],tbLancamentos[Equipamento],F123,tbLancamentos[Momento da falha],"&gt;="&amp;Res!$C$9,tbLancamentos[Momento da falha],"&lt;"&amp;Res!$O$9)+K123)</f>
        <v/>
      </c>
      <c r="K123" s="79">
        <v>9.8839999999999006E-5</v>
      </c>
      <c r="L123" s="71" t="str">
        <f>IF(F123="","",IFERROR(COUNTIFS(tbLancamentos[Equipamento],F123,tbLancamentos[Momento da falha],"&gt;"&amp;0,tbLancamentos[Momento do retorno],""),0))</f>
        <v/>
      </c>
    </row>
    <row r="124" spans="2:12" ht="20.100000000000001" customHeight="1" x14ac:dyDescent="0.25">
      <c r="B124" s="87">
        <v>118</v>
      </c>
      <c r="C124" s="88"/>
      <c r="D124" s="74"/>
      <c r="E124" s="74"/>
      <c r="F124" s="84" t="str">
        <f t="shared" si="1"/>
        <v/>
      </c>
      <c r="G124" s="89" t="str">
        <f>IF(F124="","",VLOOKUP($C124,CadSet!$C$7:$E$26,2,FALSE))</f>
        <v/>
      </c>
      <c r="H124" s="90" t="str">
        <f>IF(G124="","",VLOOKUP($C124,CadSet!$C$7:$E$26,3,FALSE))</f>
        <v/>
      </c>
      <c r="I124" s="91" t="str">
        <f>IF(F124="","",COUNTIFS(tbLancamentos[Equipamento],F124,tbLancamentos[Momento da falha],"&gt;="&amp;Res!$C$9,tbLancamentos[Momento da falha],"&lt;"&amp;Res!$O$9)+K124)</f>
        <v/>
      </c>
      <c r="J124" s="83" t="str">
        <f>IF(F124="","",SUMIFS(tbLancamentos[Tempo indisponível],tbLancamentos[Equipamento],F124,tbLancamentos[Momento da falha],"&gt;="&amp;Res!$C$9,tbLancamentos[Momento da falha],"&lt;"&amp;Res!$O$9)+K124)</f>
        <v/>
      </c>
      <c r="K124" s="79">
        <v>9.8829999999998998E-5</v>
      </c>
      <c r="L124" s="71" t="str">
        <f>IF(F124="","",IFERROR(COUNTIFS(tbLancamentos[Equipamento],F124,tbLancamentos[Momento da falha],"&gt;"&amp;0,tbLancamentos[Momento do retorno],""),0))</f>
        <v/>
      </c>
    </row>
    <row r="125" spans="2:12" ht="20.100000000000001" customHeight="1" x14ac:dyDescent="0.25">
      <c r="B125" s="87">
        <v>119</v>
      </c>
      <c r="C125" s="88"/>
      <c r="D125" s="74"/>
      <c r="E125" s="74"/>
      <c r="F125" s="84" t="str">
        <f t="shared" si="1"/>
        <v/>
      </c>
      <c r="G125" s="89" t="str">
        <f>IF(F125="","",VLOOKUP($C125,CadSet!$C$7:$E$26,2,FALSE))</f>
        <v/>
      </c>
      <c r="H125" s="90" t="str">
        <f>IF(G125="","",VLOOKUP($C125,CadSet!$C$7:$E$26,3,FALSE))</f>
        <v/>
      </c>
      <c r="I125" s="91" t="str">
        <f>IF(F125="","",COUNTIFS(tbLancamentos[Equipamento],F125,tbLancamentos[Momento da falha],"&gt;="&amp;Res!$C$9,tbLancamentos[Momento da falha],"&lt;"&amp;Res!$O$9)+K125)</f>
        <v/>
      </c>
      <c r="J125" s="83" t="str">
        <f>IF(F125="","",SUMIFS(tbLancamentos[Tempo indisponível],tbLancamentos[Equipamento],F125,tbLancamentos[Momento da falha],"&gt;="&amp;Res!$C$9,tbLancamentos[Momento da falha],"&lt;"&amp;Res!$O$9)+K125)</f>
        <v/>
      </c>
      <c r="K125" s="79">
        <v>9.8819999999999003E-5</v>
      </c>
      <c r="L125" s="71" t="str">
        <f>IF(F125="","",IFERROR(COUNTIFS(tbLancamentos[Equipamento],F125,tbLancamentos[Momento da falha],"&gt;"&amp;0,tbLancamentos[Momento do retorno],""),0))</f>
        <v/>
      </c>
    </row>
    <row r="126" spans="2:12" ht="20.100000000000001" customHeight="1" x14ac:dyDescent="0.25">
      <c r="B126" s="87">
        <v>120</v>
      </c>
      <c r="C126" s="88"/>
      <c r="D126" s="74"/>
      <c r="E126" s="74"/>
      <c r="F126" s="84" t="str">
        <f t="shared" si="1"/>
        <v/>
      </c>
      <c r="G126" s="89" t="str">
        <f>IF(F126="","",VLOOKUP($C126,CadSet!$C$7:$E$26,2,FALSE))</f>
        <v/>
      </c>
      <c r="H126" s="90" t="str">
        <f>IF(G126="","",VLOOKUP($C126,CadSet!$C$7:$E$26,3,FALSE))</f>
        <v/>
      </c>
      <c r="I126" s="91" t="str">
        <f>IF(F126="","",COUNTIFS(tbLancamentos[Equipamento],F126,tbLancamentos[Momento da falha],"&gt;="&amp;Res!$C$9,tbLancamentos[Momento da falha],"&lt;"&amp;Res!$O$9)+K126)</f>
        <v/>
      </c>
      <c r="J126" s="83" t="str">
        <f>IF(F126="","",SUMIFS(tbLancamentos[Tempo indisponível],tbLancamentos[Equipamento],F126,tbLancamentos[Momento da falha],"&gt;="&amp;Res!$C$9,tbLancamentos[Momento da falha],"&lt;"&amp;Res!$O$9)+K126)</f>
        <v/>
      </c>
      <c r="K126" s="79">
        <v>9.8809999999998995E-5</v>
      </c>
      <c r="L126" s="71" t="str">
        <f>IF(F126="","",IFERROR(COUNTIFS(tbLancamentos[Equipamento],F126,tbLancamentos[Momento da falha],"&gt;"&amp;0,tbLancamentos[Momento do retorno],""),0))</f>
        <v/>
      </c>
    </row>
    <row r="127" spans="2:12" ht="20.100000000000001" customHeight="1" x14ac:dyDescent="0.25">
      <c r="B127" s="87">
        <v>121</v>
      </c>
      <c r="C127" s="88"/>
      <c r="D127" s="74"/>
      <c r="E127" s="74"/>
      <c r="F127" s="84" t="str">
        <f t="shared" si="1"/>
        <v/>
      </c>
      <c r="G127" s="89" t="str">
        <f>IF(F127="","",VLOOKUP($C127,CadSet!$C$7:$E$26,2,FALSE))</f>
        <v/>
      </c>
      <c r="H127" s="90" t="str">
        <f>IF(G127="","",VLOOKUP($C127,CadSet!$C$7:$E$26,3,FALSE))</f>
        <v/>
      </c>
      <c r="I127" s="91" t="str">
        <f>IF(F127="","",COUNTIFS(tbLancamentos[Equipamento],F127,tbLancamentos[Momento da falha],"&gt;="&amp;Res!$C$9,tbLancamentos[Momento da falha],"&lt;"&amp;Res!$O$9)+K127)</f>
        <v/>
      </c>
      <c r="J127" s="83" t="str">
        <f>IF(F127="","",SUMIFS(tbLancamentos[Tempo indisponível],tbLancamentos[Equipamento],F127,tbLancamentos[Momento da falha],"&gt;="&amp;Res!$C$9,tbLancamentos[Momento da falha],"&lt;"&amp;Res!$O$9)+K127)</f>
        <v/>
      </c>
      <c r="K127" s="79">
        <v>9.8799999999999E-5</v>
      </c>
      <c r="L127" s="71" t="str">
        <f>IF(F127="","",IFERROR(COUNTIFS(tbLancamentos[Equipamento],F127,tbLancamentos[Momento da falha],"&gt;"&amp;0,tbLancamentos[Momento do retorno],""),0))</f>
        <v/>
      </c>
    </row>
    <row r="128" spans="2:12" ht="20.100000000000001" customHeight="1" x14ac:dyDescent="0.25">
      <c r="B128" s="87">
        <v>122</v>
      </c>
      <c r="C128" s="88"/>
      <c r="D128" s="74"/>
      <c r="E128" s="74"/>
      <c r="F128" s="84" t="str">
        <f t="shared" si="1"/>
        <v/>
      </c>
      <c r="G128" s="89" t="str">
        <f>IF(F128="","",VLOOKUP($C128,CadSet!$C$7:$E$26,2,FALSE))</f>
        <v/>
      </c>
      <c r="H128" s="90" t="str">
        <f>IF(G128="","",VLOOKUP($C128,CadSet!$C$7:$E$26,3,FALSE))</f>
        <v/>
      </c>
      <c r="I128" s="91" t="str">
        <f>IF(F128="","",COUNTIFS(tbLancamentos[Equipamento],F128,tbLancamentos[Momento da falha],"&gt;="&amp;Res!$C$9,tbLancamentos[Momento da falha],"&lt;"&amp;Res!$O$9)+K128)</f>
        <v/>
      </c>
      <c r="J128" s="83" t="str">
        <f>IF(F128="","",SUMIFS(tbLancamentos[Tempo indisponível],tbLancamentos[Equipamento],F128,tbLancamentos[Momento da falha],"&gt;="&amp;Res!$C$9,tbLancamentos[Momento da falha],"&lt;"&amp;Res!$O$9)+K128)</f>
        <v/>
      </c>
      <c r="K128" s="79">
        <v>9.8789999999999005E-5</v>
      </c>
      <c r="L128" s="71" t="str">
        <f>IF(F128="","",IFERROR(COUNTIFS(tbLancamentos[Equipamento],F128,tbLancamentos[Momento da falha],"&gt;"&amp;0,tbLancamentos[Momento do retorno],""),0))</f>
        <v/>
      </c>
    </row>
    <row r="129" spans="2:12" ht="20.100000000000001" customHeight="1" x14ac:dyDescent="0.25">
      <c r="B129" s="87">
        <v>123</v>
      </c>
      <c r="C129" s="88"/>
      <c r="D129" s="74"/>
      <c r="E129" s="74"/>
      <c r="F129" s="84" t="str">
        <f t="shared" si="1"/>
        <v/>
      </c>
      <c r="G129" s="89" t="str">
        <f>IF(F129="","",VLOOKUP($C129,CadSet!$C$7:$E$26,2,FALSE))</f>
        <v/>
      </c>
      <c r="H129" s="90" t="str">
        <f>IF(G129="","",VLOOKUP($C129,CadSet!$C$7:$E$26,3,FALSE))</f>
        <v/>
      </c>
      <c r="I129" s="91" t="str">
        <f>IF(F129="","",COUNTIFS(tbLancamentos[Equipamento],F129,tbLancamentos[Momento da falha],"&gt;="&amp;Res!$C$9,tbLancamentos[Momento da falha],"&lt;"&amp;Res!$O$9)+K129)</f>
        <v/>
      </c>
      <c r="J129" s="83" t="str">
        <f>IF(F129="","",SUMIFS(tbLancamentos[Tempo indisponível],tbLancamentos[Equipamento],F129,tbLancamentos[Momento da falha],"&gt;="&amp;Res!$C$9,tbLancamentos[Momento da falha],"&lt;"&amp;Res!$O$9)+K129)</f>
        <v/>
      </c>
      <c r="K129" s="79">
        <v>9.8779999999998997E-5</v>
      </c>
      <c r="L129" s="71" t="str">
        <f>IF(F129="","",IFERROR(COUNTIFS(tbLancamentos[Equipamento],F129,tbLancamentos[Momento da falha],"&gt;"&amp;0,tbLancamentos[Momento do retorno],""),0))</f>
        <v/>
      </c>
    </row>
    <row r="130" spans="2:12" ht="20.100000000000001" customHeight="1" x14ac:dyDescent="0.25">
      <c r="B130" s="87">
        <v>124</v>
      </c>
      <c r="C130" s="88"/>
      <c r="D130" s="74"/>
      <c r="E130" s="74"/>
      <c r="F130" s="84" t="str">
        <f t="shared" si="1"/>
        <v/>
      </c>
      <c r="G130" s="89" t="str">
        <f>IF(F130="","",VLOOKUP($C130,CadSet!$C$7:$E$26,2,FALSE))</f>
        <v/>
      </c>
      <c r="H130" s="90" t="str">
        <f>IF(G130="","",VLOOKUP($C130,CadSet!$C$7:$E$26,3,FALSE))</f>
        <v/>
      </c>
      <c r="I130" s="91" t="str">
        <f>IF(F130="","",COUNTIFS(tbLancamentos[Equipamento],F130,tbLancamentos[Momento da falha],"&gt;="&amp;Res!$C$9,tbLancamentos[Momento da falha],"&lt;"&amp;Res!$O$9)+K130)</f>
        <v/>
      </c>
      <c r="J130" s="83" t="str">
        <f>IF(F130="","",SUMIFS(tbLancamentos[Tempo indisponível],tbLancamentos[Equipamento],F130,tbLancamentos[Momento da falha],"&gt;="&amp;Res!$C$9,tbLancamentos[Momento da falha],"&lt;"&amp;Res!$O$9)+K130)</f>
        <v/>
      </c>
      <c r="K130" s="79">
        <v>9.8769999999999002E-5</v>
      </c>
      <c r="L130" s="71" t="str">
        <f>IF(F130="","",IFERROR(COUNTIFS(tbLancamentos[Equipamento],F130,tbLancamentos[Momento da falha],"&gt;"&amp;0,tbLancamentos[Momento do retorno],""),0))</f>
        <v/>
      </c>
    </row>
    <row r="131" spans="2:12" ht="20.100000000000001" customHeight="1" x14ac:dyDescent="0.25">
      <c r="B131" s="87">
        <v>125</v>
      </c>
      <c r="C131" s="88"/>
      <c r="D131" s="74"/>
      <c r="E131" s="74"/>
      <c r="F131" s="84" t="str">
        <f t="shared" si="1"/>
        <v/>
      </c>
      <c r="G131" s="89" t="str">
        <f>IF(F131="","",VLOOKUP($C131,CadSet!$C$7:$E$26,2,FALSE))</f>
        <v/>
      </c>
      <c r="H131" s="90" t="str">
        <f>IF(G131="","",VLOOKUP($C131,CadSet!$C$7:$E$26,3,FALSE))</f>
        <v/>
      </c>
      <c r="I131" s="91" t="str">
        <f>IF(F131="","",COUNTIFS(tbLancamentos[Equipamento],F131,tbLancamentos[Momento da falha],"&gt;="&amp;Res!$C$9,tbLancamentos[Momento da falha],"&lt;"&amp;Res!$O$9)+K131)</f>
        <v/>
      </c>
      <c r="J131" s="83" t="str">
        <f>IF(F131="","",SUMIFS(tbLancamentos[Tempo indisponível],tbLancamentos[Equipamento],F131,tbLancamentos[Momento da falha],"&gt;="&amp;Res!$C$9,tbLancamentos[Momento da falha],"&lt;"&amp;Res!$O$9)+K131)</f>
        <v/>
      </c>
      <c r="K131" s="79">
        <v>9.8759999999998993E-5</v>
      </c>
      <c r="L131" s="71" t="str">
        <f>IF(F131="","",IFERROR(COUNTIFS(tbLancamentos[Equipamento],F131,tbLancamentos[Momento da falha],"&gt;"&amp;0,tbLancamentos[Momento do retorno],""),0))</f>
        <v/>
      </c>
    </row>
    <row r="132" spans="2:12" ht="20.100000000000001" customHeight="1" x14ac:dyDescent="0.25">
      <c r="B132" s="87">
        <v>126</v>
      </c>
      <c r="C132" s="88"/>
      <c r="D132" s="74"/>
      <c r="E132" s="74"/>
      <c r="F132" s="84" t="str">
        <f t="shared" si="1"/>
        <v/>
      </c>
      <c r="G132" s="89" t="str">
        <f>IF(F132="","",VLOOKUP($C132,CadSet!$C$7:$E$26,2,FALSE))</f>
        <v/>
      </c>
      <c r="H132" s="90" t="str">
        <f>IF(G132="","",VLOOKUP($C132,CadSet!$C$7:$E$26,3,FALSE))</f>
        <v/>
      </c>
      <c r="I132" s="91" t="str">
        <f>IF(F132="","",COUNTIFS(tbLancamentos[Equipamento],F132,tbLancamentos[Momento da falha],"&gt;="&amp;Res!$C$9,tbLancamentos[Momento da falha],"&lt;"&amp;Res!$O$9)+K132)</f>
        <v/>
      </c>
      <c r="J132" s="83" t="str">
        <f>IF(F132="","",SUMIFS(tbLancamentos[Tempo indisponível],tbLancamentos[Equipamento],F132,tbLancamentos[Momento da falha],"&gt;="&amp;Res!$C$9,tbLancamentos[Momento da falha],"&lt;"&amp;Res!$O$9)+K132)</f>
        <v/>
      </c>
      <c r="K132" s="79">
        <v>9.8749999999998999E-5</v>
      </c>
      <c r="L132" s="71" t="str">
        <f>IF(F132="","",IFERROR(COUNTIFS(tbLancamentos[Equipamento],F132,tbLancamentos[Momento da falha],"&gt;"&amp;0,tbLancamentos[Momento do retorno],""),0))</f>
        <v/>
      </c>
    </row>
    <row r="133" spans="2:12" ht="20.100000000000001" customHeight="1" x14ac:dyDescent="0.25">
      <c r="B133" s="87">
        <v>127</v>
      </c>
      <c r="C133" s="88"/>
      <c r="D133" s="74"/>
      <c r="E133" s="74"/>
      <c r="F133" s="84" t="str">
        <f t="shared" si="1"/>
        <v/>
      </c>
      <c r="G133" s="89" t="str">
        <f>IF(F133="","",VLOOKUP($C133,CadSet!$C$7:$E$26,2,FALSE))</f>
        <v/>
      </c>
      <c r="H133" s="90" t="str">
        <f>IF(G133="","",VLOOKUP($C133,CadSet!$C$7:$E$26,3,FALSE))</f>
        <v/>
      </c>
      <c r="I133" s="91" t="str">
        <f>IF(F133="","",COUNTIFS(tbLancamentos[Equipamento],F133,tbLancamentos[Momento da falha],"&gt;="&amp;Res!$C$9,tbLancamentos[Momento da falha],"&lt;"&amp;Res!$O$9)+K133)</f>
        <v/>
      </c>
      <c r="J133" s="83" t="str">
        <f>IF(F133="","",SUMIFS(tbLancamentos[Tempo indisponível],tbLancamentos[Equipamento],F133,tbLancamentos[Momento da falha],"&gt;="&amp;Res!$C$9,tbLancamentos[Momento da falha],"&lt;"&amp;Res!$O$9)+K133)</f>
        <v/>
      </c>
      <c r="K133" s="79">
        <v>9.8739999999998895E-5</v>
      </c>
      <c r="L133" s="71" t="str">
        <f>IF(F133="","",IFERROR(COUNTIFS(tbLancamentos[Equipamento],F133,tbLancamentos[Momento da falha],"&gt;"&amp;0,tbLancamentos[Momento do retorno],""),0))</f>
        <v/>
      </c>
    </row>
    <row r="134" spans="2:12" ht="20.100000000000001" customHeight="1" x14ac:dyDescent="0.25">
      <c r="B134" s="87">
        <v>128</v>
      </c>
      <c r="C134" s="88"/>
      <c r="D134" s="74"/>
      <c r="E134" s="74"/>
      <c r="F134" s="84" t="str">
        <f t="shared" si="1"/>
        <v/>
      </c>
      <c r="G134" s="89" t="str">
        <f>IF(F134="","",VLOOKUP($C134,CadSet!$C$7:$E$26,2,FALSE))</f>
        <v/>
      </c>
      <c r="H134" s="90" t="str">
        <f>IF(G134="","",VLOOKUP($C134,CadSet!$C$7:$E$26,3,FALSE))</f>
        <v/>
      </c>
      <c r="I134" s="91" t="str">
        <f>IF(F134="","",COUNTIFS(tbLancamentos[Equipamento],F134,tbLancamentos[Momento da falha],"&gt;="&amp;Res!$C$9,tbLancamentos[Momento da falha],"&lt;"&amp;Res!$O$9)+K134)</f>
        <v/>
      </c>
      <c r="J134" s="83" t="str">
        <f>IF(F134="","",SUMIFS(tbLancamentos[Tempo indisponível],tbLancamentos[Equipamento],F134,tbLancamentos[Momento da falha],"&gt;="&amp;Res!$C$9,tbLancamentos[Momento da falha],"&lt;"&amp;Res!$O$9)+K134)</f>
        <v/>
      </c>
      <c r="K134" s="79">
        <v>9.8729999999998901E-5</v>
      </c>
      <c r="L134" s="71" t="str">
        <f>IF(F134="","",IFERROR(COUNTIFS(tbLancamentos[Equipamento],F134,tbLancamentos[Momento da falha],"&gt;"&amp;0,tbLancamentos[Momento do retorno],""),0))</f>
        <v/>
      </c>
    </row>
    <row r="135" spans="2:12" ht="20.100000000000001" customHeight="1" x14ac:dyDescent="0.25">
      <c r="B135" s="87">
        <v>129</v>
      </c>
      <c r="C135" s="88"/>
      <c r="D135" s="74"/>
      <c r="E135" s="74"/>
      <c r="F135" s="84" t="str">
        <f t="shared" si="1"/>
        <v/>
      </c>
      <c r="G135" s="89" t="str">
        <f>IF(F135="","",VLOOKUP($C135,CadSet!$C$7:$E$26,2,FALSE))</f>
        <v/>
      </c>
      <c r="H135" s="90" t="str">
        <f>IF(G135="","",VLOOKUP($C135,CadSet!$C$7:$E$26,3,FALSE))</f>
        <v/>
      </c>
      <c r="I135" s="91" t="str">
        <f>IF(F135="","",COUNTIFS(tbLancamentos[Equipamento],F135,tbLancamentos[Momento da falha],"&gt;="&amp;Res!$C$9,tbLancamentos[Momento da falha],"&lt;"&amp;Res!$O$9)+K135)</f>
        <v/>
      </c>
      <c r="J135" s="83" t="str">
        <f>IF(F135="","",SUMIFS(tbLancamentos[Tempo indisponível],tbLancamentos[Equipamento],F135,tbLancamentos[Momento da falha],"&gt;="&amp;Res!$C$9,tbLancamentos[Momento da falha],"&lt;"&amp;Res!$O$9)+K135)</f>
        <v/>
      </c>
      <c r="K135" s="79">
        <v>9.8719999999998906E-5</v>
      </c>
      <c r="L135" s="71" t="str">
        <f>IF(F135="","",IFERROR(COUNTIFS(tbLancamentos[Equipamento],F135,tbLancamentos[Momento da falha],"&gt;"&amp;0,tbLancamentos[Momento do retorno],""),0))</f>
        <v/>
      </c>
    </row>
    <row r="136" spans="2:12" ht="20.100000000000001" customHeight="1" x14ac:dyDescent="0.25">
      <c r="B136" s="87">
        <v>130</v>
      </c>
      <c r="C136" s="88"/>
      <c r="D136" s="74"/>
      <c r="E136" s="74"/>
      <c r="F136" s="84" t="str">
        <f t="shared" ref="F136:F199" si="2">IF(AND(C136&lt;&gt;"",D136&lt;&gt;""),C136&amp;" - "&amp;D136,"")</f>
        <v/>
      </c>
      <c r="G136" s="89" t="str">
        <f>IF(F136="","",VLOOKUP($C136,CadSet!$C$7:$E$26,2,FALSE))</f>
        <v/>
      </c>
      <c r="H136" s="90" t="str">
        <f>IF(G136="","",VLOOKUP($C136,CadSet!$C$7:$E$26,3,FALSE))</f>
        <v/>
      </c>
      <c r="I136" s="91" t="str">
        <f>IF(F136="","",COUNTIFS(tbLancamentos[Equipamento],F136,tbLancamentos[Momento da falha],"&gt;="&amp;Res!$C$9,tbLancamentos[Momento da falha],"&lt;"&amp;Res!$O$9)+K136)</f>
        <v/>
      </c>
      <c r="J136" s="83" t="str">
        <f>IF(F136="","",SUMIFS(tbLancamentos[Tempo indisponível],tbLancamentos[Equipamento],F136,tbLancamentos[Momento da falha],"&gt;="&amp;Res!$C$9,tbLancamentos[Momento da falha],"&lt;"&amp;Res!$O$9)+K136)</f>
        <v/>
      </c>
      <c r="K136" s="79">
        <v>9.8709999999998897E-5</v>
      </c>
      <c r="L136" s="71" t="str">
        <f>IF(F136="","",IFERROR(COUNTIFS(tbLancamentos[Equipamento],F136,tbLancamentos[Momento da falha],"&gt;"&amp;0,tbLancamentos[Momento do retorno],""),0))</f>
        <v/>
      </c>
    </row>
    <row r="137" spans="2:12" ht="20.100000000000001" customHeight="1" x14ac:dyDescent="0.25">
      <c r="B137" s="87">
        <v>131</v>
      </c>
      <c r="C137" s="88"/>
      <c r="D137" s="74"/>
      <c r="E137" s="74"/>
      <c r="F137" s="84" t="str">
        <f t="shared" si="2"/>
        <v/>
      </c>
      <c r="G137" s="89" t="str">
        <f>IF(F137="","",VLOOKUP($C137,CadSet!$C$7:$E$26,2,FALSE))</f>
        <v/>
      </c>
      <c r="H137" s="90" t="str">
        <f>IF(G137="","",VLOOKUP($C137,CadSet!$C$7:$E$26,3,FALSE))</f>
        <v/>
      </c>
      <c r="I137" s="91" t="str">
        <f>IF(F137="","",COUNTIFS(tbLancamentos[Equipamento],F137,tbLancamentos[Momento da falha],"&gt;="&amp;Res!$C$9,tbLancamentos[Momento da falha],"&lt;"&amp;Res!$O$9)+K137)</f>
        <v/>
      </c>
      <c r="J137" s="83" t="str">
        <f>IF(F137="","",SUMIFS(tbLancamentos[Tempo indisponível],tbLancamentos[Equipamento],F137,tbLancamentos[Momento da falha],"&gt;="&amp;Res!$C$9,tbLancamentos[Momento da falha],"&lt;"&amp;Res!$O$9)+K137)</f>
        <v/>
      </c>
      <c r="K137" s="79">
        <v>9.8699999999998903E-5</v>
      </c>
      <c r="L137" s="71" t="str">
        <f>IF(F137="","",IFERROR(COUNTIFS(tbLancamentos[Equipamento],F137,tbLancamentos[Momento da falha],"&gt;"&amp;0,tbLancamentos[Momento do retorno],""),0))</f>
        <v/>
      </c>
    </row>
    <row r="138" spans="2:12" ht="20.100000000000001" customHeight="1" x14ac:dyDescent="0.25">
      <c r="B138" s="87">
        <v>132</v>
      </c>
      <c r="C138" s="88"/>
      <c r="D138" s="74"/>
      <c r="E138" s="74"/>
      <c r="F138" s="84" t="str">
        <f t="shared" si="2"/>
        <v/>
      </c>
      <c r="G138" s="89" t="str">
        <f>IF(F138="","",VLOOKUP($C138,CadSet!$C$7:$E$26,2,FALSE))</f>
        <v/>
      </c>
      <c r="H138" s="90" t="str">
        <f>IF(G138="","",VLOOKUP($C138,CadSet!$C$7:$E$26,3,FALSE))</f>
        <v/>
      </c>
      <c r="I138" s="91" t="str">
        <f>IF(F138="","",COUNTIFS(tbLancamentos[Equipamento],F138,tbLancamentos[Momento da falha],"&gt;="&amp;Res!$C$9,tbLancamentos[Momento da falha],"&lt;"&amp;Res!$O$9)+K138)</f>
        <v/>
      </c>
      <c r="J138" s="83" t="str">
        <f>IF(F138="","",SUMIFS(tbLancamentos[Tempo indisponível],tbLancamentos[Equipamento],F138,tbLancamentos[Momento da falha],"&gt;="&amp;Res!$C$9,tbLancamentos[Momento da falha],"&lt;"&amp;Res!$O$9)+K138)</f>
        <v/>
      </c>
      <c r="K138" s="79">
        <v>9.8689999999998894E-5</v>
      </c>
      <c r="L138" s="71" t="str">
        <f>IF(F138="","",IFERROR(COUNTIFS(tbLancamentos[Equipamento],F138,tbLancamentos[Momento da falha],"&gt;"&amp;0,tbLancamentos[Momento do retorno],""),0))</f>
        <v/>
      </c>
    </row>
    <row r="139" spans="2:12" ht="20.100000000000001" customHeight="1" x14ac:dyDescent="0.25">
      <c r="B139" s="87">
        <v>133</v>
      </c>
      <c r="C139" s="88"/>
      <c r="D139" s="74"/>
      <c r="E139" s="74"/>
      <c r="F139" s="84" t="str">
        <f t="shared" si="2"/>
        <v/>
      </c>
      <c r="G139" s="89" t="str">
        <f>IF(F139="","",VLOOKUP($C139,CadSet!$C$7:$E$26,2,FALSE))</f>
        <v/>
      </c>
      <c r="H139" s="90" t="str">
        <f>IF(G139="","",VLOOKUP($C139,CadSet!$C$7:$E$26,3,FALSE))</f>
        <v/>
      </c>
      <c r="I139" s="91" t="str">
        <f>IF(F139="","",COUNTIFS(tbLancamentos[Equipamento],F139,tbLancamentos[Momento da falha],"&gt;="&amp;Res!$C$9,tbLancamentos[Momento da falha],"&lt;"&amp;Res!$O$9)+K139)</f>
        <v/>
      </c>
      <c r="J139" s="83" t="str">
        <f>IF(F139="","",SUMIFS(tbLancamentos[Tempo indisponível],tbLancamentos[Equipamento],F139,tbLancamentos[Momento da falha],"&gt;="&amp;Res!$C$9,tbLancamentos[Momento da falha],"&lt;"&amp;Res!$O$9)+K139)</f>
        <v/>
      </c>
      <c r="K139" s="79">
        <v>9.8679999999998899E-5</v>
      </c>
      <c r="L139" s="71" t="str">
        <f>IF(F139="","",IFERROR(COUNTIFS(tbLancamentos[Equipamento],F139,tbLancamentos[Momento da falha],"&gt;"&amp;0,tbLancamentos[Momento do retorno],""),0))</f>
        <v/>
      </c>
    </row>
    <row r="140" spans="2:12" ht="20.100000000000001" customHeight="1" x14ac:dyDescent="0.25">
      <c r="B140" s="87">
        <v>134</v>
      </c>
      <c r="C140" s="88"/>
      <c r="D140" s="74"/>
      <c r="E140" s="74"/>
      <c r="F140" s="84" t="str">
        <f t="shared" si="2"/>
        <v/>
      </c>
      <c r="G140" s="89" t="str">
        <f>IF(F140="","",VLOOKUP($C140,CadSet!$C$7:$E$26,2,FALSE))</f>
        <v/>
      </c>
      <c r="H140" s="90" t="str">
        <f>IF(G140="","",VLOOKUP($C140,CadSet!$C$7:$E$26,3,FALSE))</f>
        <v/>
      </c>
      <c r="I140" s="91" t="str">
        <f>IF(F140="","",COUNTIFS(tbLancamentos[Equipamento],F140,tbLancamentos[Momento da falha],"&gt;="&amp;Res!$C$9,tbLancamentos[Momento da falha],"&lt;"&amp;Res!$O$9)+K140)</f>
        <v/>
      </c>
      <c r="J140" s="83" t="str">
        <f>IF(F140="","",SUMIFS(tbLancamentos[Tempo indisponível],tbLancamentos[Equipamento],F140,tbLancamentos[Momento da falha],"&gt;="&amp;Res!$C$9,tbLancamentos[Momento da falha],"&lt;"&amp;Res!$O$9)+K140)</f>
        <v/>
      </c>
      <c r="K140" s="79">
        <v>9.8669999999998905E-5</v>
      </c>
      <c r="L140" s="71" t="str">
        <f>IF(F140="","",IFERROR(COUNTIFS(tbLancamentos[Equipamento],F140,tbLancamentos[Momento da falha],"&gt;"&amp;0,tbLancamentos[Momento do retorno],""),0))</f>
        <v/>
      </c>
    </row>
    <row r="141" spans="2:12" ht="20.100000000000001" customHeight="1" x14ac:dyDescent="0.25">
      <c r="B141" s="87">
        <v>135</v>
      </c>
      <c r="C141" s="88"/>
      <c r="D141" s="74"/>
      <c r="E141" s="74"/>
      <c r="F141" s="84" t="str">
        <f t="shared" si="2"/>
        <v/>
      </c>
      <c r="G141" s="89" t="str">
        <f>IF(F141="","",VLOOKUP($C141,CadSet!$C$7:$E$26,2,FALSE))</f>
        <v/>
      </c>
      <c r="H141" s="90" t="str">
        <f>IF(G141="","",VLOOKUP($C141,CadSet!$C$7:$E$26,3,FALSE))</f>
        <v/>
      </c>
      <c r="I141" s="91" t="str">
        <f>IF(F141="","",COUNTIFS(tbLancamentos[Equipamento],F141,tbLancamentos[Momento da falha],"&gt;="&amp;Res!$C$9,tbLancamentos[Momento da falha],"&lt;"&amp;Res!$O$9)+K141)</f>
        <v/>
      </c>
      <c r="J141" s="83" t="str">
        <f>IF(F141="","",SUMIFS(tbLancamentos[Tempo indisponível],tbLancamentos[Equipamento],F141,tbLancamentos[Momento da falha],"&gt;="&amp;Res!$C$9,tbLancamentos[Momento da falha],"&lt;"&amp;Res!$O$9)+K141)</f>
        <v/>
      </c>
      <c r="K141" s="79">
        <v>9.8659999999998896E-5</v>
      </c>
      <c r="L141" s="71" t="str">
        <f>IF(F141="","",IFERROR(COUNTIFS(tbLancamentos[Equipamento],F141,tbLancamentos[Momento da falha],"&gt;"&amp;0,tbLancamentos[Momento do retorno],""),0))</f>
        <v/>
      </c>
    </row>
    <row r="142" spans="2:12" ht="20.100000000000001" customHeight="1" x14ac:dyDescent="0.25">
      <c r="B142" s="87">
        <v>136</v>
      </c>
      <c r="C142" s="88"/>
      <c r="D142" s="74"/>
      <c r="E142" s="74"/>
      <c r="F142" s="84" t="str">
        <f t="shared" si="2"/>
        <v/>
      </c>
      <c r="G142" s="89" t="str">
        <f>IF(F142="","",VLOOKUP($C142,CadSet!$C$7:$E$26,2,FALSE))</f>
        <v/>
      </c>
      <c r="H142" s="90" t="str">
        <f>IF(G142="","",VLOOKUP($C142,CadSet!$C$7:$E$26,3,FALSE))</f>
        <v/>
      </c>
      <c r="I142" s="91" t="str">
        <f>IF(F142="","",COUNTIFS(tbLancamentos[Equipamento],F142,tbLancamentos[Momento da falha],"&gt;="&amp;Res!$C$9,tbLancamentos[Momento da falha],"&lt;"&amp;Res!$O$9)+K142)</f>
        <v/>
      </c>
      <c r="J142" s="83" t="str">
        <f>IF(F142="","",SUMIFS(tbLancamentos[Tempo indisponível],tbLancamentos[Equipamento],F142,tbLancamentos[Momento da falha],"&gt;="&amp;Res!$C$9,tbLancamentos[Momento da falha],"&lt;"&amp;Res!$O$9)+K142)</f>
        <v/>
      </c>
      <c r="K142" s="79">
        <v>9.8649999999998901E-5</v>
      </c>
      <c r="L142" s="71" t="str">
        <f>IF(F142="","",IFERROR(COUNTIFS(tbLancamentos[Equipamento],F142,tbLancamentos[Momento da falha],"&gt;"&amp;0,tbLancamentos[Momento do retorno],""),0))</f>
        <v/>
      </c>
    </row>
    <row r="143" spans="2:12" ht="20.100000000000001" customHeight="1" x14ac:dyDescent="0.25">
      <c r="B143" s="87">
        <v>137</v>
      </c>
      <c r="C143" s="88"/>
      <c r="D143" s="74"/>
      <c r="E143" s="74"/>
      <c r="F143" s="84" t="str">
        <f t="shared" si="2"/>
        <v/>
      </c>
      <c r="G143" s="89" t="str">
        <f>IF(F143="","",VLOOKUP($C143,CadSet!$C$7:$E$26,2,FALSE))</f>
        <v/>
      </c>
      <c r="H143" s="90" t="str">
        <f>IF(G143="","",VLOOKUP($C143,CadSet!$C$7:$E$26,3,FALSE))</f>
        <v/>
      </c>
      <c r="I143" s="91" t="str">
        <f>IF(F143="","",COUNTIFS(tbLancamentos[Equipamento],F143,tbLancamentos[Momento da falha],"&gt;="&amp;Res!$C$9,tbLancamentos[Momento da falha],"&lt;"&amp;Res!$O$9)+K143)</f>
        <v/>
      </c>
      <c r="J143" s="83" t="str">
        <f>IF(F143="","",SUMIFS(tbLancamentos[Tempo indisponível],tbLancamentos[Equipamento],F143,tbLancamentos[Momento da falha],"&gt;="&amp;Res!$C$9,tbLancamentos[Momento da falha],"&lt;"&amp;Res!$O$9)+K143)</f>
        <v/>
      </c>
      <c r="K143" s="79">
        <v>9.8639999999998907E-5</v>
      </c>
      <c r="L143" s="71" t="str">
        <f>IF(F143="","",IFERROR(COUNTIFS(tbLancamentos[Equipamento],F143,tbLancamentos[Momento da falha],"&gt;"&amp;0,tbLancamentos[Momento do retorno],""),0))</f>
        <v/>
      </c>
    </row>
    <row r="144" spans="2:12" ht="20.100000000000001" customHeight="1" x14ac:dyDescent="0.25">
      <c r="B144" s="87">
        <v>138</v>
      </c>
      <c r="C144" s="88"/>
      <c r="D144" s="74"/>
      <c r="E144" s="74"/>
      <c r="F144" s="84" t="str">
        <f t="shared" si="2"/>
        <v/>
      </c>
      <c r="G144" s="89" t="str">
        <f>IF(F144="","",VLOOKUP($C144,CadSet!$C$7:$E$26,2,FALSE))</f>
        <v/>
      </c>
      <c r="H144" s="90" t="str">
        <f>IF(G144="","",VLOOKUP($C144,CadSet!$C$7:$E$26,3,FALSE))</f>
        <v/>
      </c>
      <c r="I144" s="91" t="str">
        <f>IF(F144="","",COUNTIFS(tbLancamentos[Equipamento],F144,tbLancamentos[Momento da falha],"&gt;="&amp;Res!$C$9,tbLancamentos[Momento da falha],"&lt;"&amp;Res!$O$9)+K144)</f>
        <v/>
      </c>
      <c r="J144" s="83" t="str">
        <f>IF(F144="","",SUMIFS(tbLancamentos[Tempo indisponível],tbLancamentos[Equipamento],F144,tbLancamentos[Momento da falha],"&gt;="&amp;Res!$C$9,tbLancamentos[Momento da falha],"&lt;"&amp;Res!$O$9)+K144)</f>
        <v/>
      </c>
      <c r="K144" s="79">
        <v>9.8629999999998898E-5</v>
      </c>
      <c r="L144" s="71" t="str">
        <f>IF(F144="","",IFERROR(COUNTIFS(tbLancamentos[Equipamento],F144,tbLancamentos[Momento da falha],"&gt;"&amp;0,tbLancamentos[Momento do retorno],""),0))</f>
        <v/>
      </c>
    </row>
    <row r="145" spans="2:12" ht="20.100000000000001" customHeight="1" x14ac:dyDescent="0.25">
      <c r="B145" s="87">
        <v>139</v>
      </c>
      <c r="C145" s="88"/>
      <c r="D145" s="74"/>
      <c r="E145" s="74"/>
      <c r="F145" s="84" t="str">
        <f t="shared" si="2"/>
        <v/>
      </c>
      <c r="G145" s="89" t="str">
        <f>IF(F145="","",VLOOKUP($C145,CadSet!$C$7:$E$26,2,FALSE))</f>
        <v/>
      </c>
      <c r="H145" s="90" t="str">
        <f>IF(G145="","",VLOOKUP($C145,CadSet!$C$7:$E$26,3,FALSE))</f>
        <v/>
      </c>
      <c r="I145" s="91" t="str">
        <f>IF(F145="","",COUNTIFS(tbLancamentos[Equipamento],F145,tbLancamentos[Momento da falha],"&gt;="&amp;Res!$C$9,tbLancamentos[Momento da falha],"&lt;"&amp;Res!$O$9)+K145)</f>
        <v/>
      </c>
      <c r="J145" s="83" t="str">
        <f>IF(F145="","",SUMIFS(tbLancamentos[Tempo indisponível],tbLancamentos[Equipamento],F145,tbLancamentos[Momento da falha],"&gt;="&amp;Res!$C$9,tbLancamentos[Momento da falha],"&lt;"&amp;Res!$O$9)+K145)</f>
        <v/>
      </c>
      <c r="K145" s="79">
        <v>9.8619999999998795E-5</v>
      </c>
      <c r="L145" s="71" t="str">
        <f>IF(F145="","",IFERROR(COUNTIFS(tbLancamentos[Equipamento],F145,tbLancamentos[Momento da falha],"&gt;"&amp;0,tbLancamentos[Momento do retorno],""),0))</f>
        <v/>
      </c>
    </row>
    <row r="146" spans="2:12" ht="20.100000000000001" customHeight="1" x14ac:dyDescent="0.25">
      <c r="B146" s="87">
        <v>140</v>
      </c>
      <c r="C146" s="88"/>
      <c r="D146" s="74"/>
      <c r="E146" s="74"/>
      <c r="F146" s="84" t="str">
        <f t="shared" si="2"/>
        <v/>
      </c>
      <c r="G146" s="89" t="str">
        <f>IF(F146="","",VLOOKUP($C146,CadSet!$C$7:$E$26,2,FALSE))</f>
        <v/>
      </c>
      <c r="H146" s="90" t="str">
        <f>IF(G146="","",VLOOKUP($C146,CadSet!$C$7:$E$26,3,FALSE))</f>
        <v/>
      </c>
      <c r="I146" s="91" t="str">
        <f>IF(F146="","",COUNTIFS(tbLancamentos[Equipamento],F146,tbLancamentos[Momento da falha],"&gt;="&amp;Res!$C$9,tbLancamentos[Momento da falha],"&lt;"&amp;Res!$O$9)+K146)</f>
        <v/>
      </c>
      <c r="J146" s="83" t="str">
        <f>IF(F146="","",SUMIFS(tbLancamentos[Tempo indisponível],tbLancamentos[Equipamento],F146,tbLancamentos[Momento da falha],"&gt;="&amp;Res!$C$9,tbLancamentos[Momento da falha],"&lt;"&amp;Res!$O$9)+K146)</f>
        <v/>
      </c>
      <c r="K146" s="79">
        <v>9.86099999999988E-5</v>
      </c>
      <c r="L146" s="71" t="str">
        <f>IF(F146="","",IFERROR(COUNTIFS(tbLancamentos[Equipamento],F146,tbLancamentos[Momento da falha],"&gt;"&amp;0,tbLancamentos[Momento do retorno],""),0))</f>
        <v/>
      </c>
    </row>
    <row r="147" spans="2:12" ht="20.100000000000001" customHeight="1" x14ac:dyDescent="0.25">
      <c r="B147" s="87">
        <v>141</v>
      </c>
      <c r="C147" s="88"/>
      <c r="D147" s="74"/>
      <c r="E147" s="74"/>
      <c r="F147" s="84" t="str">
        <f t="shared" si="2"/>
        <v/>
      </c>
      <c r="G147" s="89" t="str">
        <f>IF(F147="","",VLOOKUP($C147,CadSet!$C$7:$E$26,2,FALSE))</f>
        <v/>
      </c>
      <c r="H147" s="90" t="str">
        <f>IF(G147="","",VLOOKUP($C147,CadSet!$C$7:$E$26,3,FALSE))</f>
        <v/>
      </c>
      <c r="I147" s="91" t="str">
        <f>IF(F147="","",COUNTIFS(tbLancamentos[Equipamento],F147,tbLancamentos[Momento da falha],"&gt;="&amp;Res!$C$9,tbLancamentos[Momento da falha],"&lt;"&amp;Res!$O$9)+K147)</f>
        <v/>
      </c>
      <c r="J147" s="83" t="str">
        <f>IF(F147="","",SUMIFS(tbLancamentos[Tempo indisponível],tbLancamentos[Equipamento],F147,tbLancamentos[Momento da falha],"&gt;="&amp;Res!$C$9,tbLancamentos[Momento da falha],"&lt;"&amp;Res!$O$9)+K147)</f>
        <v/>
      </c>
      <c r="K147" s="79">
        <v>9.8599999999998805E-5</v>
      </c>
      <c r="L147" s="71" t="str">
        <f>IF(F147="","",IFERROR(COUNTIFS(tbLancamentos[Equipamento],F147,tbLancamentos[Momento da falha],"&gt;"&amp;0,tbLancamentos[Momento do retorno],""),0))</f>
        <v/>
      </c>
    </row>
    <row r="148" spans="2:12" ht="20.100000000000001" customHeight="1" x14ac:dyDescent="0.25">
      <c r="B148" s="87">
        <v>142</v>
      </c>
      <c r="C148" s="88"/>
      <c r="D148" s="74"/>
      <c r="E148" s="74"/>
      <c r="F148" s="84" t="str">
        <f t="shared" si="2"/>
        <v/>
      </c>
      <c r="G148" s="89" t="str">
        <f>IF(F148="","",VLOOKUP($C148,CadSet!$C$7:$E$26,2,FALSE))</f>
        <v/>
      </c>
      <c r="H148" s="90" t="str">
        <f>IF(G148="","",VLOOKUP($C148,CadSet!$C$7:$E$26,3,FALSE))</f>
        <v/>
      </c>
      <c r="I148" s="91" t="str">
        <f>IF(F148="","",COUNTIFS(tbLancamentos[Equipamento],F148,tbLancamentos[Momento da falha],"&gt;="&amp;Res!$C$9,tbLancamentos[Momento da falha],"&lt;"&amp;Res!$O$9)+K148)</f>
        <v/>
      </c>
      <c r="J148" s="83" t="str">
        <f>IF(F148="","",SUMIFS(tbLancamentos[Tempo indisponível],tbLancamentos[Equipamento],F148,tbLancamentos[Momento da falha],"&gt;="&amp;Res!$C$9,tbLancamentos[Momento da falha],"&lt;"&amp;Res!$O$9)+K148)</f>
        <v/>
      </c>
      <c r="K148" s="79">
        <v>9.8589999999998797E-5</v>
      </c>
      <c r="L148" s="71" t="str">
        <f>IF(F148="","",IFERROR(COUNTIFS(tbLancamentos[Equipamento],F148,tbLancamentos[Momento da falha],"&gt;"&amp;0,tbLancamentos[Momento do retorno],""),0))</f>
        <v/>
      </c>
    </row>
    <row r="149" spans="2:12" ht="20.100000000000001" customHeight="1" x14ac:dyDescent="0.25">
      <c r="B149" s="87">
        <v>143</v>
      </c>
      <c r="C149" s="88"/>
      <c r="D149" s="74"/>
      <c r="E149" s="74"/>
      <c r="F149" s="84" t="str">
        <f t="shared" si="2"/>
        <v/>
      </c>
      <c r="G149" s="89" t="str">
        <f>IF(F149="","",VLOOKUP($C149,CadSet!$C$7:$E$26,2,FALSE))</f>
        <v/>
      </c>
      <c r="H149" s="90" t="str">
        <f>IF(G149="","",VLOOKUP($C149,CadSet!$C$7:$E$26,3,FALSE))</f>
        <v/>
      </c>
      <c r="I149" s="91" t="str">
        <f>IF(F149="","",COUNTIFS(tbLancamentos[Equipamento],F149,tbLancamentos[Momento da falha],"&gt;="&amp;Res!$C$9,tbLancamentos[Momento da falha],"&lt;"&amp;Res!$O$9)+K149)</f>
        <v/>
      </c>
      <c r="J149" s="83" t="str">
        <f>IF(F149="","",SUMIFS(tbLancamentos[Tempo indisponível],tbLancamentos[Equipamento],F149,tbLancamentos[Momento da falha],"&gt;="&amp;Res!$C$9,tbLancamentos[Momento da falha],"&lt;"&amp;Res!$O$9)+K149)</f>
        <v/>
      </c>
      <c r="K149" s="79">
        <v>9.8579999999998802E-5</v>
      </c>
      <c r="L149" s="71" t="str">
        <f>IF(F149="","",IFERROR(COUNTIFS(tbLancamentos[Equipamento],F149,tbLancamentos[Momento da falha],"&gt;"&amp;0,tbLancamentos[Momento do retorno],""),0))</f>
        <v/>
      </c>
    </row>
    <row r="150" spans="2:12" ht="20.100000000000001" customHeight="1" x14ac:dyDescent="0.25">
      <c r="B150" s="87">
        <v>144</v>
      </c>
      <c r="C150" s="88"/>
      <c r="D150" s="74"/>
      <c r="E150" s="74"/>
      <c r="F150" s="84" t="str">
        <f t="shared" si="2"/>
        <v/>
      </c>
      <c r="G150" s="89" t="str">
        <f>IF(F150="","",VLOOKUP($C150,CadSet!$C$7:$E$26,2,FALSE))</f>
        <v/>
      </c>
      <c r="H150" s="90" t="str">
        <f>IF(G150="","",VLOOKUP($C150,CadSet!$C$7:$E$26,3,FALSE))</f>
        <v/>
      </c>
      <c r="I150" s="91" t="str">
        <f>IF(F150="","",COUNTIFS(tbLancamentos[Equipamento],F150,tbLancamentos[Momento da falha],"&gt;="&amp;Res!$C$9,tbLancamentos[Momento da falha],"&lt;"&amp;Res!$O$9)+K150)</f>
        <v/>
      </c>
      <c r="J150" s="83" t="str">
        <f>IF(F150="","",SUMIFS(tbLancamentos[Tempo indisponível],tbLancamentos[Equipamento],F150,tbLancamentos[Momento da falha],"&gt;="&amp;Res!$C$9,tbLancamentos[Momento da falha],"&lt;"&amp;Res!$O$9)+K150)</f>
        <v/>
      </c>
      <c r="K150" s="79">
        <v>9.8569999999998794E-5</v>
      </c>
      <c r="L150" s="71" t="str">
        <f>IF(F150="","",IFERROR(COUNTIFS(tbLancamentos[Equipamento],F150,tbLancamentos[Momento da falha],"&gt;"&amp;0,tbLancamentos[Momento do retorno],""),0))</f>
        <v/>
      </c>
    </row>
    <row r="151" spans="2:12" ht="20.100000000000001" customHeight="1" x14ac:dyDescent="0.25">
      <c r="B151" s="87">
        <v>145</v>
      </c>
      <c r="C151" s="88"/>
      <c r="D151" s="74"/>
      <c r="E151" s="74"/>
      <c r="F151" s="84" t="str">
        <f t="shared" si="2"/>
        <v/>
      </c>
      <c r="G151" s="89" t="str">
        <f>IF(F151="","",VLOOKUP($C151,CadSet!$C$7:$E$26,2,FALSE))</f>
        <v/>
      </c>
      <c r="H151" s="90" t="str">
        <f>IF(G151="","",VLOOKUP($C151,CadSet!$C$7:$E$26,3,FALSE))</f>
        <v/>
      </c>
      <c r="I151" s="91" t="str">
        <f>IF(F151="","",COUNTIFS(tbLancamentos[Equipamento],F151,tbLancamentos[Momento da falha],"&gt;="&amp;Res!$C$9,tbLancamentos[Momento da falha],"&lt;"&amp;Res!$O$9)+K151)</f>
        <v/>
      </c>
      <c r="J151" s="83" t="str">
        <f>IF(F151="","",SUMIFS(tbLancamentos[Tempo indisponível],tbLancamentos[Equipamento],F151,tbLancamentos[Momento da falha],"&gt;="&amp;Res!$C$9,tbLancamentos[Momento da falha],"&lt;"&amp;Res!$O$9)+K151)</f>
        <v/>
      </c>
      <c r="K151" s="79">
        <v>9.8559999999998799E-5</v>
      </c>
      <c r="L151" s="71" t="str">
        <f>IF(F151="","",IFERROR(COUNTIFS(tbLancamentos[Equipamento],F151,tbLancamentos[Momento da falha],"&gt;"&amp;0,tbLancamentos[Momento do retorno],""),0))</f>
        <v/>
      </c>
    </row>
    <row r="152" spans="2:12" ht="20.100000000000001" customHeight="1" x14ac:dyDescent="0.25">
      <c r="B152" s="87">
        <v>146</v>
      </c>
      <c r="C152" s="88"/>
      <c r="D152" s="74"/>
      <c r="E152" s="74"/>
      <c r="F152" s="84" t="str">
        <f t="shared" si="2"/>
        <v/>
      </c>
      <c r="G152" s="89" t="str">
        <f>IF(F152="","",VLOOKUP($C152,CadSet!$C$7:$E$26,2,FALSE))</f>
        <v/>
      </c>
      <c r="H152" s="90" t="str">
        <f>IF(G152="","",VLOOKUP($C152,CadSet!$C$7:$E$26,3,FALSE))</f>
        <v/>
      </c>
      <c r="I152" s="91" t="str">
        <f>IF(F152="","",COUNTIFS(tbLancamentos[Equipamento],F152,tbLancamentos[Momento da falha],"&gt;="&amp;Res!$C$9,tbLancamentos[Momento da falha],"&lt;"&amp;Res!$O$9)+K152)</f>
        <v/>
      </c>
      <c r="J152" s="83" t="str">
        <f>IF(F152="","",SUMIFS(tbLancamentos[Tempo indisponível],tbLancamentos[Equipamento],F152,tbLancamentos[Momento da falha],"&gt;="&amp;Res!$C$9,tbLancamentos[Momento da falha],"&lt;"&amp;Res!$O$9)+K152)</f>
        <v/>
      </c>
      <c r="K152" s="79">
        <v>9.8549999999998804E-5</v>
      </c>
      <c r="L152" s="71" t="str">
        <f>IF(F152="","",IFERROR(COUNTIFS(tbLancamentos[Equipamento],F152,tbLancamentos[Momento da falha],"&gt;"&amp;0,tbLancamentos[Momento do retorno],""),0))</f>
        <v/>
      </c>
    </row>
    <row r="153" spans="2:12" ht="20.100000000000001" customHeight="1" x14ac:dyDescent="0.25">
      <c r="B153" s="87">
        <v>147</v>
      </c>
      <c r="C153" s="88"/>
      <c r="D153" s="74"/>
      <c r="E153" s="74"/>
      <c r="F153" s="84" t="str">
        <f t="shared" si="2"/>
        <v/>
      </c>
      <c r="G153" s="89" t="str">
        <f>IF(F153="","",VLOOKUP($C153,CadSet!$C$7:$E$26,2,FALSE))</f>
        <v/>
      </c>
      <c r="H153" s="90" t="str">
        <f>IF(G153="","",VLOOKUP($C153,CadSet!$C$7:$E$26,3,FALSE))</f>
        <v/>
      </c>
      <c r="I153" s="91" t="str">
        <f>IF(F153="","",COUNTIFS(tbLancamentos[Equipamento],F153,tbLancamentos[Momento da falha],"&gt;="&amp;Res!$C$9,tbLancamentos[Momento da falha],"&lt;"&amp;Res!$O$9)+K153)</f>
        <v/>
      </c>
      <c r="J153" s="83" t="str">
        <f>IF(F153="","",SUMIFS(tbLancamentos[Tempo indisponível],tbLancamentos[Equipamento],F153,tbLancamentos[Momento da falha],"&gt;="&amp;Res!$C$9,tbLancamentos[Momento da falha],"&lt;"&amp;Res!$O$9)+K153)</f>
        <v/>
      </c>
      <c r="K153" s="79">
        <v>9.8539999999998796E-5</v>
      </c>
      <c r="L153" s="71" t="str">
        <f>IF(F153="","",IFERROR(COUNTIFS(tbLancamentos[Equipamento],F153,tbLancamentos[Momento da falha],"&gt;"&amp;0,tbLancamentos[Momento do retorno],""),0))</f>
        <v/>
      </c>
    </row>
    <row r="154" spans="2:12" ht="20.100000000000001" customHeight="1" x14ac:dyDescent="0.25">
      <c r="B154" s="87">
        <v>148</v>
      </c>
      <c r="C154" s="88"/>
      <c r="D154" s="74"/>
      <c r="E154" s="74"/>
      <c r="F154" s="84" t="str">
        <f t="shared" si="2"/>
        <v/>
      </c>
      <c r="G154" s="89" t="str">
        <f>IF(F154="","",VLOOKUP($C154,CadSet!$C$7:$E$26,2,FALSE))</f>
        <v/>
      </c>
      <c r="H154" s="90" t="str">
        <f>IF(G154="","",VLOOKUP($C154,CadSet!$C$7:$E$26,3,FALSE))</f>
        <v/>
      </c>
      <c r="I154" s="91" t="str">
        <f>IF(F154="","",COUNTIFS(tbLancamentos[Equipamento],F154,tbLancamentos[Momento da falha],"&gt;="&amp;Res!$C$9,tbLancamentos[Momento da falha],"&lt;"&amp;Res!$O$9)+K154)</f>
        <v/>
      </c>
      <c r="J154" s="83" t="str">
        <f>IF(F154="","",SUMIFS(tbLancamentos[Tempo indisponível],tbLancamentos[Equipamento],F154,tbLancamentos[Momento da falha],"&gt;="&amp;Res!$C$9,tbLancamentos[Momento da falha],"&lt;"&amp;Res!$O$9)+K154)</f>
        <v/>
      </c>
      <c r="K154" s="79">
        <v>9.8529999999998801E-5</v>
      </c>
      <c r="L154" s="71" t="str">
        <f>IF(F154="","",IFERROR(COUNTIFS(tbLancamentos[Equipamento],F154,tbLancamentos[Momento da falha],"&gt;"&amp;0,tbLancamentos[Momento do retorno],""),0))</f>
        <v/>
      </c>
    </row>
    <row r="155" spans="2:12" ht="20.100000000000001" customHeight="1" x14ac:dyDescent="0.25">
      <c r="B155" s="87">
        <v>149</v>
      </c>
      <c r="C155" s="88"/>
      <c r="D155" s="74"/>
      <c r="E155" s="74"/>
      <c r="F155" s="84" t="str">
        <f t="shared" si="2"/>
        <v/>
      </c>
      <c r="G155" s="89" t="str">
        <f>IF(F155="","",VLOOKUP($C155,CadSet!$C$7:$E$26,2,FALSE))</f>
        <v/>
      </c>
      <c r="H155" s="90" t="str">
        <f>IF(G155="","",VLOOKUP($C155,CadSet!$C$7:$E$26,3,FALSE))</f>
        <v/>
      </c>
      <c r="I155" s="91" t="str">
        <f>IF(F155="","",COUNTIFS(tbLancamentos[Equipamento],F155,tbLancamentos[Momento da falha],"&gt;="&amp;Res!$C$9,tbLancamentos[Momento da falha],"&lt;"&amp;Res!$O$9)+K155)</f>
        <v/>
      </c>
      <c r="J155" s="83" t="str">
        <f>IF(F155="","",SUMIFS(tbLancamentos[Tempo indisponível],tbLancamentos[Equipamento],F155,tbLancamentos[Momento da falha],"&gt;="&amp;Res!$C$9,tbLancamentos[Momento da falha],"&lt;"&amp;Res!$O$9)+K155)</f>
        <v/>
      </c>
      <c r="K155" s="79">
        <v>9.8519999999998806E-5</v>
      </c>
      <c r="L155" s="71" t="str">
        <f>IF(F155="","",IFERROR(COUNTIFS(tbLancamentos[Equipamento],F155,tbLancamentos[Momento da falha],"&gt;"&amp;0,tbLancamentos[Momento do retorno],""),0))</f>
        <v/>
      </c>
    </row>
    <row r="156" spans="2:12" ht="20.100000000000001" customHeight="1" x14ac:dyDescent="0.25">
      <c r="B156" s="87">
        <v>150</v>
      </c>
      <c r="C156" s="88"/>
      <c r="D156" s="74"/>
      <c r="E156" s="74"/>
      <c r="F156" s="84" t="str">
        <f t="shared" si="2"/>
        <v/>
      </c>
      <c r="G156" s="89" t="str">
        <f>IF(F156="","",VLOOKUP($C156,CadSet!$C$7:$E$26,2,FALSE))</f>
        <v/>
      </c>
      <c r="H156" s="90" t="str">
        <f>IF(G156="","",VLOOKUP($C156,CadSet!$C$7:$E$26,3,FALSE))</f>
        <v/>
      </c>
      <c r="I156" s="91" t="str">
        <f>IF(F156="","",COUNTIFS(tbLancamentos[Equipamento],F156,tbLancamentos[Momento da falha],"&gt;="&amp;Res!$C$9,tbLancamentos[Momento da falha],"&lt;"&amp;Res!$O$9)+K156)</f>
        <v/>
      </c>
      <c r="J156" s="83" t="str">
        <f>IF(F156="","",SUMIFS(tbLancamentos[Tempo indisponível],tbLancamentos[Equipamento],F156,tbLancamentos[Momento da falha],"&gt;="&amp;Res!$C$9,tbLancamentos[Momento da falha],"&lt;"&amp;Res!$O$9)+K156)</f>
        <v/>
      </c>
      <c r="K156" s="79">
        <v>9.8509999999998798E-5</v>
      </c>
      <c r="L156" s="71" t="str">
        <f>IF(F156="","",IFERROR(COUNTIFS(tbLancamentos[Equipamento],F156,tbLancamentos[Momento da falha],"&gt;"&amp;0,tbLancamentos[Momento do retorno],""),0))</f>
        <v/>
      </c>
    </row>
    <row r="157" spans="2:12" ht="20.100000000000001" customHeight="1" x14ac:dyDescent="0.25">
      <c r="B157" s="87">
        <v>151</v>
      </c>
      <c r="C157" s="88"/>
      <c r="D157" s="74"/>
      <c r="E157" s="74"/>
      <c r="F157" s="84" t="str">
        <f t="shared" si="2"/>
        <v/>
      </c>
      <c r="G157" s="89" t="str">
        <f>IF(F157="","",VLOOKUP($C157,CadSet!$C$7:$E$26,2,FALSE))</f>
        <v/>
      </c>
      <c r="H157" s="90" t="str">
        <f>IF(G157="","",VLOOKUP($C157,CadSet!$C$7:$E$26,3,FALSE))</f>
        <v/>
      </c>
      <c r="I157" s="91" t="str">
        <f>IF(F157="","",COUNTIFS(tbLancamentos[Equipamento],F157,tbLancamentos[Momento da falha],"&gt;="&amp;Res!$C$9,tbLancamentos[Momento da falha],"&lt;"&amp;Res!$O$9)+K157)</f>
        <v/>
      </c>
      <c r="J157" s="83" t="str">
        <f>IF(F157="","",SUMIFS(tbLancamentos[Tempo indisponível],tbLancamentos[Equipamento],F157,tbLancamentos[Momento da falha],"&gt;="&amp;Res!$C$9,tbLancamentos[Momento da falha],"&lt;"&amp;Res!$O$9)+K157)</f>
        <v/>
      </c>
      <c r="K157" s="79">
        <v>9.8499999999998694E-5</v>
      </c>
      <c r="L157" s="71" t="str">
        <f>IF(F157="","",IFERROR(COUNTIFS(tbLancamentos[Equipamento],F157,tbLancamentos[Momento da falha],"&gt;"&amp;0,tbLancamentos[Momento do retorno],""),0))</f>
        <v/>
      </c>
    </row>
    <row r="158" spans="2:12" ht="20.100000000000001" customHeight="1" x14ac:dyDescent="0.25">
      <c r="B158" s="87">
        <v>152</v>
      </c>
      <c r="C158" s="88"/>
      <c r="D158" s="74"/>
      <c r="E158" s="74"/>
      <c r="F158" s="84" t="str">
        <f t="shared" si="2"/>
        <v/>
      </c>
      <c r="G158" s="89" t="str">
        <f>IF(F158="","",VLOOKUP($C158,CadSet!$C$7:$E$26,2,FALSE))</f>
        <v/>
      </c>
      <c r="H158" s="90" t="str">
        <f>IF(G158="","",VLOOKUP($C158,CadSet!$C$7:$E$26,3,FALSE))</f>
        <v/>
      </c>
      <c r="I158" s="91" t="str">
        <f>IF(F158="","",COUNTIFS(tbLancamentos[Equipamento],F158,tbLancamentos[Momento da falha],"&gt;="&amp;Res!$C$9,tbLancamentos[Momento da falha],"&lt;"&amp;Res!$O$9)+K158)</f>
        <v/>
      </c>
      <c r="J158" s="83" t="str">
        <f>IF(F158="","",SUMIFS(tbLancamentos[Tempo indisponível],tbLancamentos[Equipamento],F158,tbLancamentos[Momento da falha],"&gt;="&amp;Res!$C$9,tbLancamentos[Momento da falha],"&lt;"&amp;Res!$O$9)+K158)</f>
        <v/>
      </c>
      <c r="K158" s="79">
        <v>9.84899999999987E-5</v>
      </c>
      <c r="L158" s="71" t="str">
        <f>IF(F158="","",IFERROR(COUNTIFS(tbLancamentos[Equipamento],F158,tbLancamentos[Momento da falha],"&gt;"&amp;0,tbLancamentos[Momento do retorno],""),0))</f>
        <v/>
      </c>
    </row>
    <row r="159" spans="2:12" ht="20.100000000000001" customHeight="1" x14ac:dyDescent="0.25">
      <c r="B159" s="87">
        <v>153</v>
      </c>
      <c r="C159" s="88"/>
      <c r="D159" s="74"/>
      <c r="E159" s="74"/>
      <c r="F159" s="84" t="str">
        <f t="shared" si="2"/>
        <v/>
      </c>
      <c r="G159" s="89" t="str">
        <f>IF(F159="","",VLOOKUP($C159,CadSet!$C$7:$E$26,2,FALSE))</f>
        <v/>
      </c>
      <c r="H159" s="90" t="str">
        <f>IF(G159="","",VLOOKUP($C159,CadSet!$C$7:$E$26,3,FALSE))</f>
        <v/>
      </c>
      <c r="I159" s="91" t="str">
        <f>IF(F159="","",COUNTIFS(tbLancamentos[Equipamento],F159,tbLancamentos[Momento da falha],"&gt;="&amp;Res!$C$9,tbLancamentos[Momento da falha],"&lt;"&amp;Res!$O$9)+K159)</f>
        <v/>
      </c>
      <c r="J159" s="83" t="str">
        <f>IF(F159="","",SUMIFS(tbLancamentos[Tempo indisponível],tbLancamentos[Equipamento],F159,tbLancamentos[Momento da falha],"&gt;="&amp;Res!$C$9,tbLancamentos[Momento da falha],"&lt;"&amp;Res!$O$9)+K159)</f>
        <v/>
      </c>
      <c r="K159" s="79">
        <v>9.8479999999998705E-5</v>
      </c>
      <c r="L159" s="71" t="str">
        <f>IF(F159="","",IFERROR(COUNTIFS(tbLancamentos[Equipamento],F159,tbLancamentos[Momento da falha],"&gt;"&amp;0,tbLancamentos[Momento do retorno],""),0))</f>
        <v/>
      </c>
    </row>
    <row r="160" spans="2:12" ht="20.100000000000001" customHeight="1" x14ac:dyDescent="0.25">
      <c r="B160" s="87">
        <v>154</v>
      </c>
      <c r="C160" s="88"/>
      <c r="D160" s="74"/>
      <c r="E160" s="74"/>
      <c r="F160" s="84" t="str">
        <f t="shared" si="2"/>
        <v/>
      </c>
      <c r="G160" s="89" t="str">
        <f>IF(F160="","",VLOOKUP($C160,CadSet!$C$7:$E$26,2,FALSE))</f>
        <v/>
      </c>
      <c r="H160" s="90" t="str">
        <f>IF(G160="","",VLOOKUP($C160,CadSet!$C$7:$E$26,3,FALSE))</f>
        <v/>
      </c>
      <c r="I160" s="91" t="str">
        <f>IF(F160="","",COUNTIFS(tbLancamentos[Equipamento],F160,tbLancamentos[Momento da falha],"&gt;="&amp;Res!$C$9,tbLancamentos[Momento da falha],"&lt;"&amp;Res!$O$9)+K160)</f>
        <v/>
      </c>
      <c r="J160" s="83" t="str">
        <f>IF(F160="","",SUMIFS(tbLancamentos[Tempo indisponível],tbLancamentos[Equipamento],F160,tbLancamentos[Momento da falha],"&gt;="&amp;Res!$C$9,tbLancamentos[Momento da falha],"&lt;"&amp;Res!$O$9)+K160)</f>
        <v/>
      </c>
      <c r="K160" s="79">
        <v>9.8469999999998696E-5</v>
      </c>
      <c r="L160" s="71" t="str">
        <f>IF(F160="","",IFERROR(COUNTIFS(tbLancamentos[Equipamento],F160,tbLancamentos[Momento da falha],"&gt;"&amp;0,tbLancamentos[Momento do retorno],""),0))</f>
        <v/>
      </c>
    </row>
    <row r="161" spans="2:12" ht="20.100000000000001" customHeight="1" x14ac:dyDescent="0.25">
      <c r="B161" s="87">
        <v>155</v>
      </c>
      <c r="C161" s="88"/>
      <c r="D161" s="74"/>
      <c r="E161" s="74"/>
      <c r="F161" s="84" t="str">
        <f t="shared" si="2"/>
        <v/>
      </c>
      <c r="G161" s="89" t="str">
        <f>IF(F161="","",VLOOKUP($C161,CadSet!$C$7:$E$26,2,FALSE))</f>
        <v/>
      </c>
      <c r="H161" s="90" t="str">
        <f>IF(G161="","",VLOOKUP($C161,CadSet!$C$7:$E$26,3,FALSE))</f>
        <v/>
      </c>
      <c r="I161" s="91" t="str">
        <f>IF(F161="","",COUNTIFS(tbLancamentos[Equipamento],F161,tbLancamentos[Momento da falha],"&gt;="&amp;Res!$C$9,tbLancamentos[Momento da falha],"&lt;"&amp;Res!$O$9)+K161)</f>
        <v/>
      </c>
      <c r="J161" s="83" t="str">
        <f>IF(F161="","",SUMIFS(tbLancamentos[Tempo indisponível],tbLancamentos[Equipamento],F161,tbLancamentos[Momento da falha],"&gt;="&amp;Res!$C$9,tbLancamentos[Momento da falha],"&lt;"&amp;Res!$O$9)+K161)</f>
        <v/>
      </c>
      <c r="K161" s="79">
        <v>9.8459999999998702E-5</v>
      </c>
      <c r="L161" s="71" t="str">
        <f>IF(F161="","",IFERROR(COUNTIFS(tbLancamentos[Equipamento],F161,tbLancamentos[Momento da falha],"&gt;"&amp;0,tbLancamentos[Momento do retorno],""),0))</f>
        <v/>
      </c>
    </row>
    <row r="162" spans="2:12" ht="20.100000000000001" customHeight="1" x14ac:dyDescent="0.25">
      <c r="B162" s="87">
        <v>156</v>
      </c>
      <c r="C162" s="88"/>
      <c r="D162" s="74"/>
      <c r="E162" s="74"/>
      <c r="F162" s="84" t="str">
        <f t="shared" si="2"/>
        <v/>
      </c>
      <c r="G162" s="89" t="str">
        <f>IF(F162="","",VLOOKUP($C162,CadSet!$C$7:$E$26,2,FALSE))</f>
        <v/>
      </c>
      <c r="H162" s="90" t="str">
        <f>IF(G162="","",VLOOKUP($C162,CadSet!$C$7:$E$26,3,FALSE))</f>
        <v/>
      </c>
      <c r="I162" s="91" t="str">
        <f>IF(F162="","",COUNTIFS(tbLancamentos[Equipamento],F162,tbLancamentos[Momento da falha],"&gt;="&amp;Res!$C$9,tbLancamentos[Momento da falha],"&lt;"&amp;Res!$O$9)+K162)</f>
        <v/>
      </c>
      <c r="J162" s="83" t="str">
        <f>IF(F162="","",SUMIFS(tbLancamentos[Tempo indisponível],tbLancamentos[Equipamento],F162,tbLancamentos[Momento da falha],"&gt;="&amp;Res!$C$9,tbLancamentos[Momento da falha],"&lt;"&amp;Res!$O$9)+K162)</f>
        <v/>
      </c>
      <c r="K162" s="79">
        <v>9.8449999999998707E-5</v>
      </c>
      <c r="L162" s="71" t="str">
        <f>IF(F162="","",IFERROR(COUNTIFS(tbLancamentos[Equipamento],F162,tbLancamentos[Momento da falha],"&gt;"&amp;0,tbLancamentos[Momento do retorno],""),0))</f>
        <v/>
      </c>
    </row>
    <row r="163" spans="2:12" ht="20.100000000000001" customHeight="1" x14ac:dyDescent="0.25">
      <c r="B163" s="87">
        <v>157</v>
      </c>
      <c r="C163" s="88"/>
      <c r="D163" s="74"/>
      <c r="E163" s="74"/>
      <c r="F163" s="84" t="str">
        <f t="shared" si="2"/>
        <v/>
      </c>
      <c r="G163" s="89" t="str">
        <f>IF(F163="","",VLOOKUP($C163,CadSet!$C$7:$E$26,2,FALSE))</f>
        <v/>
      </c>
      <c r="H163" s="90" t="str">
        <f>IF(G163="","",VLOOKUP($C163,CadSet!$C$7:$E$26,3,FALSE))</f>
        <v/>
      </c>
      <c r="I163" s="91" t="str">
        <f>IF(F163="","",COUNTIFS(tbLancamentos[Equipamento],F163,tbLancamentos[Momento da falha],"&gt;="&amp;Res!$C$9,tbLancamentos[Momento da falha],"&lt;"&amp;Res!$O$9)+K163)</f>
        <v/>
      </c>
      <c r="J163" s="83" t="str">
        <f>IF(F163="","",SUMIFS(tbLancamentos[Tempo indisponível],tbLancamentos[Equipamento],F163,tbLancamentos[Momento da falha],"&gt;="&amp;Res!$C$9,tbLancamentos[Momento da falha],"&lt;"&amp;Res!$O$9)+K163)</f>
        <v/>
      </c>
      <c r="K163" s="79">
        <v>9.8439999999998698E-5</v>
      </c>
      <c r="L163" s="71" t="str">
        <f>IF(F163="","",IFERROR(COUNTIFS(tbLancamentos[Equipamento],F163,tbLancamentos[Momento da falha],"&gt;"&amp;0,tbLancamentos[Momento do retorno],""),0))</f>
        <v/>
      </c>
    </row>
    <row r="164" spans="2:12" ht="20.100000000000001" customHeight="1" x14ac:dyDescent="0.25">
      <c r="B164" s="87">
        <v>158</v>
      </c>
      <c r="C164" s="88"/>
      <c r="D164" s="74"/>
      <c r="E164" s="74"/>
      <c r="F164" s="84" t="str">
        <f t="shared" si="2"/>
        <v/>
      </c>
      <c r="G164" s="89" t="str">
        <f>IF(F164="","",VLOOKUP($C164,CadSet!$C$7:$E$26,2,FALSE))</f>
        <v/>
      </c>
      <c r="H164" s="90" t="str">
        <f>IF(G164="","",VLOOKUP($C164,CadSet!$C$7:$E$26,3,FALSE))</f>
        <v/>
      </c>
      <c r="I164" s="91" t="str">
        <f>IF(F164="","",COUNTIFS(tbLancamentos[Equipamento],F164,tbLancamentos[Momento da falha],"&gt;="&amp;Res!$C$9,tbLancamentos[Momento da falha],"&lt;"&amp;Res!$O$9)+K164)</f>
        <v/>
      </c>
      <c r="J164" s="83" t="str">
        <f>IF(F164="","",SUMIFS(tbLancamentos[Tempo indisponível],tbLancamentos[Equipamento],F164,tbLancamentos[Momento da falha],"&gt;="&amp;Res!$C$9,tbLancamentos[Momento da falha],"&lt;"&amp;Res!$O$9)+K164)</f>
        <v/>
      </c>
      <c r="K164" s="79">
        <v>9.8429999999998704E-5</v>
      </c>
      <c r="L164" s="71" t="str">
        <f>IF(F164="","",IFERROR(COUNTIFS(tbLancamentos[Equipamento],F164,tbLancamentos[Momento da falha],"&gt;"&amp;0,tbLancamentos[Momento do retorno],""),0))</f>
        <v/>
      </c>
    </row>
    <row r="165" spans="2:12" ht="20.100000000000001" customHeight="1" x14ac:dyDescent="0.25">
      <c r="B165" s="87">
        <v>159</v>
      </c>
      <c r="C165" s="88"/>
      <c r="D165" s="74"/>
      <c r="E165" s="74"/>
      <c r="F165" s="84" t="str">
        <f t="shared" si="2"/>
        <v/>
      </c>
      <c r="G165" s="89" t="str">
        <f>IF(F165="","",VLOOKUP($C165,CadSet!$C$7:$E$26,2,FALSE))</f>
        <v/>
      </c>
      <c r="H165" s="90" t="str">
        <f>IF(G165="","",VLOOKUP($C165,CadSet!$C$7:$E$26,3,FALSE))</f>
        <v/>
      </c>
      <c r="I165" s="91" t="str">
        <f>IF(F165="","",COUNTIFS(tbLancamentos[Equipamento],F165,tbLancamentos[Momento da falha],"&gt;="&amp;Res!$C$9,tbLancamentos[Momento da falha],"&lt;"&amp;Res!$O$9)+K165)</f>
        <v/>
      </c>
      <c r="J165" s="83" t="str">
        <f>IF(F165="","",SUMIFS(tbLancamentos[Tempo indisponível],tbLancamentos[Equipamento],F165,tbLancamentos[Momento da falha],"&gt;="&amp;Res!$C$9,tbLancamentos[Momento da falha],"&lt;"&amp;Res!$O$9)+K165)</f>
        <v/>
      </c>
      <c r="K165" s="79">
        <v>9.8419999999998695E-5</v>
      </c>
      <c r="L165" s="71" t="str">
        <f>IF(F165="","",IFERROR(COUNTIFS(tbLancamentos[Equipamento],F165,tbLancamentos[Momento da falha],"&gt;"&amp;0,tbLancamentos[Momento do retorno],""),0))</f>
        <v/>
      </c>
    </row>
    <row r="166" spans="2:12" ht="20.100000000000001" customHeight="1" x14ac:dyDescent="0.25">
      <c r="B166" s="87">
        <v>160</v>
      </c>
      <c r="C166" s="88"/>
      <c r="D166" s="74"/>
      <c r="E166" s="74"/>
      <c r="F166" s="84" t="str">
        <f t="shared" si="2"/>
        <v/>
      </c>
      <c r="G166" s="89" t="str">
        <f>IF(F166="","",VLOOKUP($C166,CadSet!$C$7:$E$26,2,FALSE))</f>
        <v/>
      </c>
      <c r="H166" s="90" t="str">
        <f>IF(G166="","",VLOOKUP($C166,CadSet!$C$7:$E$26,3,FALSE))</f>
        <v/>
      </c>
      <c r="I166" s="91" t="str">
        <f>IF(F166="","",COUNTIFS(tbLancamentos[Equipamento],F166,tbLancamentos[Momento da falha],"&gt;="&amp;Res!$C$9,tbLancamentos[Momento da falha],"&lt;"&amp;Res!$O$9)+K166)</f>
        <v/>
      </c>
      <c r="J166" s="83" t="str">
        <f>IF(F166="","",SUMIFS(tbLancamentos[Tempo indisponível],tbLancamentos[Equipamento],F166,tbLancamentos[Momento da falha],"&gt;="&amp;Res!$C$9,tbLancamentos[Momento da falha],"&lt;"&amp;Res!$O$9)+K166)</f>
        <v/>
      </c>
      <c r="K166" s="79">
        <v>9.84099999999987E-5</v>
      </c>
      <c r="L166" s="71" t="str">
        <f>IF(F166="","",IFERROR(COUNTIFS(tbLancamentos[Equipamento],F166,tbLancamentos[Momento da falha],"&gt;"&amp;0,tbLancamentos[Momento do retorno],""),0))</f>
        <v/>
      </c>
    </row>
    <row r="167" spans="2:12" ht="20.100000000000001" customHeight="1" x14ac:dyDescent="0.25">
      <c r="B167" s="87">
        <v>161</v>
      </c>
      <c r="C167" s="88"/>
      <c r="D167" s="74"/>
      <c r="E167" s="74"/>
      <c r="F167" s="84" t="str">
        <f t="shared" si="2"/>
        <v/>
      </c>
      <c r="G167" s="89" t="str">
        <f>IF(F167="","",VLOOKUP($C167,CadSet!$C$7:$E$26,2,FALSE))</f>
        <v/>
      </c>
      <c r="H167" s="90" t="str">
        <f>IF(G167="","",VLOOKUP($C167,CadSet!$C$7:$E$26,3,FALSE))</f>
        <v/>
      </c>
      <c r="I167" s="91" t="str">
        <f>IF(F167="","",COUNTIFS(tbLancamentos[Equipamento],F167,tbLancamentos[Momento da falha],"&gt;="&amp;Res!$C$9,tbLancamentos[Momento da falha],"&lt;"&amp;Res!$O$9)+K167)</f>
        <v/>
      </c>
      <c r="J167" s="83" t="str">
        <f>IF(F167="","",SUMIFS(tbLancamentos[Tempo indisponível],tbLancamentos[Equipamento],F167,tbLancamentos[Momento da falha],"&gt;="&amp;Res!$C$9,tbLancamentos[Momento da falha],"&lt;"&amp;Res!$O$9)+K167)</f>
        <v/>
      </c>
      <c r="K167" s="79">
        <v>9.8399999999998706E-5</v>
      </c>
      <c r="L167" s="71" t="str">
        <f>IF(F167="","",IFERROR(COUNTIFS(tbLancamentos[Equipamento],F167,tbLancamentos[Momento da falha],"&gt;"&amp;0,tbLancamentos[Momento do retorno],""),0))</f>
        <v/>
      </c>
    </row>
    <row r="168" spans="2:12" ht="20.100000000000001" customHeight="1" x14ac:dyDescent="0.25">
      <c r="B168" s="87">
        <v>162</v>
      </c>
      <c r="C168" s="88"/>
      <c r="D168" s="74"/>
      <c r="E168" s="74"/>
      <c r="F168" s="84" t="str">
        <f t="shared" si="2"/>
        <v/>
      </c>
      <c r="G168" s="89" t="str">
        <f>IF(F168="","",VLOOKUP($C168,CadSet!$C$7:$E$26,2,FALSE))</f>
        <v/>
      </c>
      <c r="H168" s="90" t="str">
        <f>IF(G168="","",VLOOKUP($C168,CadSet!$C$7:$E$26,3,FALSE))</f>
        <v/>
      </c>
      <c r="I168" s="91" t="str">
        <f>IF(F168="","",COUNTIFS(tbLancamentos[Equipamento],F168,tbLancamentos[Momento da falha],"&gt;="&amp;Res!$C$9,tbLancamentos[Momento da falha],"&lt;"&amp;Res!$O$9)+K168)</f>
        <v/>
      </c>
      <c r="J168" s="83" t="str">
        <f>IF(F168="","",SUMIFS(tbLancamentos[Tempo indisponível],tbLancamentos[Equipamento],F168,tbLancamentos[Momento da falha],"&gt;="&amp;Res!$C$9,tbLancamentos[Momento da falha],"&lt;"&amp;Res!$O$9)+K168)</f>
        <v/>
      </c>
      <c r="K168" s="79">
        <v>9.8389999999998697E-5</v>
      </c>
      <c r="L168" s="71" t="str">
        <f>IF(F168="","",IFERROR(COUNTIFS(tbLancamentos[Equipamento],F168,tbLancamentos[Momento da falha],"&gt;"&amp;0,tbLancamentos[Momento do retorno],""),0))</f>
        <v/>
      </c>
    </row>
    <row r="169" spans="2:12" ht="20.100000000000001" customHeight="1" x14ac:dyDescent="0.25">
      <c r="B169" s="87">
        <v>163</v>
      </c>
      <c r="C169" s="88"/>
      <c r="D169" s="74"/>
      <c r="E169" s="74"/>
      <c r="F169" s="84" t="str">
        <f t="shared" si="2"/>
        <v/>
      </c>
      <c r="G169" s="89" t="str">
        <f>IF(F169="","",VLOOKUP($C169,CadSet!$C$7:$E$26,2,FALSE))</f>
        <v/>
      </c>
      <c r="H169" s="90" t="str">
        <f>IF(G169="","",VLOOKUP($C169,CadSet!$C$7:$E$26,3,FALSE))</f>
        <v/>
      </c>
      <c r="I169" s="91" t="str">
        <f>IF(F169="","",COUNTIFS(tbLancamentos[Equipamento],F169,tbLancamentos[Momento da falha],"&gt;="&amp;Res!$C$9,tbLancamentos[Momento da falha],"&lt;"&amp;Res!$O$9)+K169)</f>
        <v/>
      </c>
      <c r="J169" s="83" t="str">
        <f>IF(F169="","",SUMIFS(tbLancamentos[Tempo indisponível],tbLancamentos[Equipamento],F169,tbLancamentos[Momento da falha],"&gt;="&amp;Res!$C$9,tbLancamentos[Momento da falha],"&lt;"&amp;Res!$O$9)+K169)</f>
        <v/>
      </c>
      <c r="K169" s="79">
        <v>9.8379999999998594E-5</v>
      </c>
      <c r="L169" s="71" t="str">
        <f>IF(F169="","",IFERROR(COUNTIFS(tbLancamentos[Equipamento],F169,tbLancamentos[Momento da falha],"&gt;"&amp;0,tbLancamentos[Momento do retorno],""),0))</f>
        <v/>
      </c>
    </row>
    <row r="170" spans="2:12" ht="20.100000000000001" customHeight="1" x14ac:dyDescent="0.25">
      <c r="B170" s="87">
        <v>164</v>
      </c>
      <c r="C170" s="88"/>
      <c r="D170" s="74"/>
      <c r="E170" s="74"/>
      <c r="F170" s="84" t="str">
        <f t="shared" si="2"/>
        <v/>
      </c>
      <c r="G170" s="89" t="str">
        <f>IF(F170="","",VLOOKUP($C170,CadSet!$C$7:$E$26,2,FALSE))</f>
        <v/>
      </c>
      <c r="H170" s="90" t="str">
        <f>IF(G170="","",VLOOKUP($C170,CadSet!$C$7:$E$26,3,FALSE))</f>
        <v/>
      </c>
      <c r="I170" s="91" t="str">
        <f>IF(F170="","",COUNTIFS(tbLancamentos[Equipamento],F170,tbLancamentos[Momento da falha],"&gt;="&amp;Res!$C$9,tbLancamentos[Momento da falha],"&lt;"&amp;Res!$O$9)+K170)</f>
        <v/>
      </c>
      <c r="J170" s="83" t="str">
        <f>IF(F170="","",SUMIFS(tbLancamentos[Tempo indisponível],tbLancamentos[Equipamento],F170,tbLancamentos[Momento da falha],"&gt;="&amp;Res!$C$9,tbLancamentos[Momento da falha],"&lt;"&amp;Res!$O$9)+K170)</f>
        <v/>
      </c>
      <c r="K170" s="79">
        <v>9.8369999999998599E-5</v>
      </c>
      <c r="L170" s="71" t="str">
        <f>IF(F170="","",IFERROR(COUNTIFS(tbLancamentos[Equipamento],F170,tbLancamentos[Momento da falha],"&gt;"&amp;0,tbLancamentos[Momento do retorno],""),0))</f>
        <v/>
      </c>
    </row>
    <row r="171" spans="2:12" ht="20.100000000000001" customHeight="1" x14ac:dyDescent="0.25">
      <c r="B171" s="87">
        <v>165</v>
      </c>
      <c r="C171" s="88"/>
      <c r="D171" s="74"/>
      <c r="E171" s="74"/>
      <c r="F171" s="84" t="str">
        <f t="shared" si="2"/>
        <v/>
      </c>
      <c r="G171" s="89" t="str">
        <f>IF(F171="","",VLOOKUP($C171,CadSet!$C$7:$E$26,2,FALSE))</f>
        <v/>
      </c>
      <c r="H171" s="90" t="str">
        <f>IF(G171="","",VLOOKUP($C171,CadSet!$C$7:$E$26,3,FALSE))</f>
        <v/>
      </c>
      <c r="I171" s="91" t="str">
        <f>IF(F171="","",COUNTIFS(tbLancamentos[Equipamento],F171,tbLancamentos[Momento da falha],"&gt;="&amp;Res!$C$9,tbLancamentos[Momento da falha],"&lt;"&amp;Res!$O$9)+K171)</f>
        <v/>
      </c>
      <c r="J171" s="83" t="str">
        <f>IF(F171="","",SUMIFS(tbLancamentos[Tempo indisponível],tbLancamentos[Equipamento],F171,tbLancamentos[Momento da falha],"&gt;="&amp;Res!$C$9,tbLancamentos[Momento da falha],"&lt;"&amp;Res!$O$9)+K171)</f>
        <v/>
      </c>
      <c r="K171" s="79">
        <v>9.8359999999998604E-5</v>
      </c>
      <c r="L171" s="71" t="str">
        <f>IF(F171="","",IFERROR(COUNTIFS(tbLancamentos[Equipamento],F171,tbLancamentos[Momento da falha],"&gt;"&amp;0,tbLancamentos[Momento do retorno],""),0))</f>
        <v/>
      </c>
    </row>
    <row r="172" spans="2:12" ht="20.100000000000001" customHeight="1" x14ac:dyDescent="0.25">
      <c r="B172" s="87">
        <v>166</v>
      </c>
      <c r="C172" s="88"/>
      <c r="D172" s="74"/>
      <c r="E172" s="74"/>
      <c r="F172" s="84" t="str">
        <f t="shared" si="2"/>
        <v/>
      </c>
      <c r="G172" s="89" t="str">
        <f>IF(F172="","",VLOOKUP($C172,CadSet!$C$7:$E$26,2,FALSE))</f>
        <v/>
      </c>
      <c r="H172" s="90" t="str">
        <f>IF(G172="","",VLOOKUP($C172,CadSet!$C$7:$E$26,3,FALSE))</f>
        <v/>
      </c>
      <c r="I172" s="91" t="str">
        <f>IF(F172="","",COUNTIFS(tbLancamentos[Equipamento],F172,tbLancamentos[Momento da falha],"&gt;="&amp;Res!$C$9,tbLancamentos[Momento da falha],"&lt;"&amp;Res!$O$9)+K172)</f>
        <v/>
      </c>
      <c r="J172" s="83" t="str">
        <f>IF(F172="","",SUMIFS(tbLancamentos[Tempo indisponível],tbLancamentos[Equipamento],F172,tbLancamentos[Momento da falha],"&gt;="&amp;Res!$C$9,tbLancamentos[Momento da falha],"&lt;"&amp;Res!$O$9)+K172)</f>
        <v/>
      </c>
      <c r="K172" s="79">
        <v>9.8349999999998596E-5</v>
      </c>
      <c r="L172" s="71" t="str">
        <f>IF(F172="","",IFERROR(COUNTIFS(tbLancamentos[Equipamento],F172,tbLancamentos[Momento da falha],"&gt;"&amp;0,tbLancamentos[Momento do retorno],""),0))</f>
        <v/>
      </c>
    </row>
    <row r="173" spans="2:12" ht="20.100000000000001" customHeight="1" x14ac:dyDescent="0.25">
      <c r="B173" s="87">
        <v>167</v>
      </c>
      <c r="C173" s="88"/>
      <c r="D173" s="74"/>
      <c r="E173" s="74"/>
      <c r="F173" s="84" t="str">
        <f t="shared" si="2"/>
        <v/>
      </c>
      <c r="G173" s="89" t="str">
        <f>IF(F173="","",VLOOKUP($C173,CadSet!$C$7:$E$26,2,FALSE))</f>
        <v/>
      </c>
      <c r="H173" s="90" t="str">
        <f>IF(G173="","",VLOOKUP($C173,CadSet!$C$7:$E$26,3,FALSE))</f>
        <v/>
      </c>
      <c r="I173" s="91" t="str">
        <f>IF(F173="","",COUNTIFS(tbLancamentos[Equipamento],F173,tbLancamentos[Momento da falha],"&gt;="&amp;Res!$C$9,tbLancamentos[Momento da falha],"&lt;"&amp;Res!$O$9)+K173)</f>
        <v/>
      </c>
      <c r="J173" s="83" t="str">
        <f>IF(F173="","",SUMIFS(tbLancamentos[Tempo indisponível],tbLancamentos[Equipamento],F173,tbLancamentos[Momento da falha],"&gt;="&amp;Res!$C$9,tbLancamentos[Momento da falha],"&lt;"&amp;Res!$O$9)+K173)</f>
        <v/>
      </c>
      <c r="K173" s="79">
        <v>9.8339999999998601E-5</v>
      </c>
      <c r="L173" s="71" t="str">
        <f>IF(F173="","",IFERROR(COUNTIFS(tbLancamentos[Equipamento],F173,tbLancamentos[Momento da falha],"&gt;"&amp;0,tbLancamentos[Momento do retorno],""),0))</f>
        <v/>
      </c>
    </row>
    <row r="174" spans="2:12" ht="20.100000000000001" customHeight="1" x14ac:dyDescent="0.25">
      <c r="B174" s="87">
        <v>168</v>
      </c>
      <c r="C174" s="88"/>
      <c r="D174" s="74"/>
      <c r="E174" s="74"/>
      <c r="F174" s="84" t="str">
        <f t="shared" si="2"/>
        <v/>
      </c>
      <c r="G174" s="89" t="str">
        <f>IF(F174="","",VLOOKUP($C174,CadSet!$C$7:$E$26,2,FALSE))</f>
        <v/>
      </c>
      <c r="H174" s="90" t="str">
        <f>IF(G174="","",VLOOKUP($C174,CadSet!$C$7:$E$26,3,FALSE))</f>
        <v/>
      </c>
      <c r="I174" s="91" t="str">
        <f>IF(F174="","",COUNTIFS(tbLancamentos[Equipamento],F174,tbLancamentos[Momento da falha],"&gt;="&amp;Res!$C$9,tbLancamentos[Momento da falha],"&lt;"&amp;Res!$O$9)+K174)</f>
        <v/>
      </c>
      <c r="J174" s="83" t="str">
        <f>IF(F174="","",SUMIFS(tbLancamentos[Tempo indisponível],tbLancamentos[Equipamento],F174,tbLancamentos[Momento da falha],"&gt;="&amp;Res!$C$9,tbLancamentos[Momento da falha],"&lt;"&amp;Res!$O$9)+K174)</f>
        <v/>
      </c>
      <c r="K174" s="79">
        <v>9.8329999999998606E-5</v>
      </c>
      <c r="L174" s="71" t="str">
        <f>IF(F174="","",IFERROR(COUNTIFS(tbLancamentos[Equipamento],F174,tbLancamentos[Momento da falha],"&gt;"&amp;0,tbLancamentos[Momento do retorno],""),0))</f>
        <v/>
      </c>
    </row>
    <row r="175" spans="2:12" ht="20.100000000000001" customHeight="1" x14ac:dyDescent="0.25">
      <c r="B175" s="87">
        <v>169</v>
      </c>
      <c r="C175" s="88"/>
      <c r="D175" s="74"/>
      <c r="E175" s="74"/>
      <c r="F175" s="84" t="str">
        <f t="shared" si="2"/>
        <v/>
      </c>
      <c r="G175" s="89" t="str">
        <f>IF(F175="","",VLOOKUP($C175,CadSet!$C$7:$E$26,2,FALSE))</f>
        <v/>
      </c>
      <c r="H175" s="90" t="str">
        <f>IF(G175="","",VLOOKUP($C175,CadSet!$C$7:$E$26,3,FALSE))</f>
        <v/>
      </c>
      <c r="I175" s="91" t="str">
        <f>IF(F175="","",COUNTIFS(tbLancamentos[Equipamento],F175,tbLancamentos[Momento da falha],"&gt;="&amp;Res!$C$9,tbLancamentos[Momento da falha],"&lt;"&amp;Res!$O$9)+K175)</f>
        <v/>
      </c>
      <c r="J175" s="83" t="str">
        <f>IF(F175="","",SUMIFS(tbLancamentos[Tempo indisponível],tbLancamentos[Equipamento],F175,tbLancamentos[Momento da falha],"&gt;="&amp;Res!$C$9,tbLancamentos[Momento da falha],"&lt;"&amp;Res!$O$9)+K175)</f>
        <v/>
      </c>
      <c r="K175" s="79">
        <v>9.8319999999998598E-5</v>
      </c>
      <c r="L175" s="71" t="str">
        <f>IF(F175="","",IFERROR(COUNTIFS(tbLancamentos[Equipamento],F175,tbLancamentos[Momento da falha],"&gt;"&amp;0,tbLancamentos[Momento do retorno],""),0))</f>
        <v/>
      </c>
    </row>
    <row r="176" spans="2:12" ht="20.100000000000001" customHeight="1" x14ac:dyDescent="0.25">
      <c r="B176" s="87">
        <v>170</v>
      </c>
      <c r="C176" s="88"/>
      <c r="D176" s="74"/>
      <c r="E176" s="74"/>
      <c r="F176" s="84" t="str">
        <f t="shared" si="2"/>
        <v/>
      </c>
      <c r="G176" s="89" t="str">
        <f>IF(F176="","",VLOOKUP($C176,CadSet!$C$7:$E$26,2,FALSE))</f>
        <v/>
      </c>
      <c r="H176" s="90" t="str">
        <f>IF(G176="","",VLOOKUP($C176,CadSet!$C$7:$E$26,3,FALSE))</f>
        <v/>
      </c>
      <c r="I176" s="91" t="str">
        <f>IF(F176="","",COUNTIFS(tbLancamentos[Equipamento],F176,tbLancamentos[Momento da falha],"&gt;="&amp;Res!$C$9,tbLancamentos[Momento da falha],"&lt;"&amp;Res!$O$9)+K176)</f>
        <v/>
      </c>
      <c r="J176" s="83" t="str">
        <f>IF(F176="","",SUMIFS(tbLancamentos[Tempo indisponível],tbLancamentos[Equipamento],F176,tbLancamentos[Momento da falha],"&gt;="&amp;Res!$C$9,tbLancamentos[Momento da falha],"&lt;"&amp;Res!$O$9)+K176)</f>
        <v/>
      </c>
      <c r="K176" s="79">
        <v>9.8309999999998603E-5</v>
      </c>
      <c r="L176" s="71" t="str">
        <f>IF(F176="","",IFERROR(COUNTIFS(tbLancamentos[Equipamento],F176,tbLancamentos[Momento da falha],"&gt;"&amp;0,tbLancamentos[Momento do retorno],""),0))</f>
        <v/>
      </c>
    </row>
    <row r="177" spans="2:12" ht="20.100000000000001" customHeight="1" x14ac:dyDescent="0.25">
      <c r="B177" s="87">
        <v>171</v>
      </c>
      <c r="C177" s="88"/>
      <c r="D177" s="74"/>
      <c r="E177" s="74"/>
      <c r="F177" s="84" t="str">
        <f t="shared" si="2"/>
        <v/>
      </c>
      <c r="G177" s="89" t="str">
        <f>IF(F177="","",VLOOKUP($C177,CadSet!$C$7:$E$26,2,FALSE))</f>
        <v/>
      </c>
      <c r="H177" s="90" t="str">
        <f>IF(G177="","",VLOOKUP($C177,CadSet!$C$7:$E$26,3,FALSE))</f>
        <v/>
      </c>
      <c r="I177" s="91" t="str">
        <f>IF(F177="","",COUNTIFS(tbLancamentos[Equipamento],F177,tbLancamentos[Momento da falha],"&gt;="&amp;Res!$C$9,tbLancamentos[Momento da falha],"&lt;"&amp;Res!$O$9)+K177)</f>
        <v/>
      </c>
      <c r="J177" s="83" t="str">
        <f>IF(F177="","",SUMIFS(tbLancamentos[Tempo indisponível],tbLancamentos[Equipamento],F177,tbLancamentos[Momento da falha],"&gt;="&amp;Res!$C$9,tbLancamentos[Momento da falha],"&lt;"&amp;Res!$O$9)+K177)</f>
        <v/>
      </c>
      <c r="K177" s="79">
        <v>9.8299999999998595E-5</v>
      </c>
      <c r="L177" s="71" t="str">
        <f>IF(F177="","",IFERROR(COUNTIFS(tbLancamentos[Equipamento],F177,tbLancamentos[Momento da falha],"&gt;"&amp;0,tbLancamentos[Momento do retorno],""),0))</f>
        <v/>
      </c>
    </row>
    <row r="178" spans="2:12" ht="20.100000000000001" customHeight="1" x14ac:dyDescent="0.25">
      <c r="B178" s="87">
        <v>172</v>
      </c>
      <c r="C178" s="88"/>
      <c r="D178" s="74"/>
      <c r="E178" s="74"/>
      <c r="F178" s="84" t="str">
        <f t="shared" si="2"/>
        <v/>
      </c>
      <c r="G178" s="89" t="str">
        <f>IF(F178="","",VLOOKUP($C178,CadSet!$C$7:$E$26,2,FALSE))</f>
        <v/>
      </c>
      <c r="H178" s="90" t="str">
        <f>IF(G178="","",VLOOKUP($C178,CadSet!$C$7:$E$26,3,FALSE))</f>
        <v/>
      </c>
      <c r="I178" s="91" t="str">
        <f>IF(F178="","",COUNTIFS(tbLancamentos[Equipamento],F178,tbLancamentos[Momento da falha],"&gt;="&amp;Res!$C$9,tbLancamentos[Momento da falha],"&lt;"&amp;Res!$O$9)+K178)</f>
        <v/>
      </c>
      <c r="J178" s="83" t="str">
        <f>IF(F178="","",SUMIFS(tbLancamentos[Tempo indisponível],tbLancamentos[Equipamento],F178,tbLancamentos[Momento da falha],"&gt;="&amp;Res!$C$9,tbLancamentos[Momento da falha],"&lt;"&amp;Res!$O$9)+K178)</f>
        <v/>
      </c>
      <c r="K178" s="79">
        <v>9.82899999999986E-5</v>
      </c>
      <c r="L178" s="71" t="str">
        <f>IF(F178="","",IFERROR(COUNTIFS(tbLancamentos[Equipamento],F178,tbLancamentos[Momento da falha],"&gt;"&amp;0,tbLancamentos[Momento do retorno],""),0))</f>
        <v/>
      </c>
    </row>
    <row r="179" spans="2:12" ht="20.100000000000001" customHeight="1" x14ac:dyDescent="0.25">
      <c r="B179" s="87">
        <v>173</v>
      </c>
      <c r="C179" s="88"/>
      <c r="D179" s="74"/>
      <c r="E179" s="74"/>
      <c r="F179" s="84" t="str">
        <f t="shared" si="2"/>
        <v/>
      </c>
      <c r="G179" s="89" t="str">
        <f>IF(F179="","",VLOOKUP($C179,CadSet!$C$7:$E$26,2,FALSE))</f>
        <v/>
      </c>
      <c r="H179" s="90" t="str">
        <f>IF(G179="","",VLOOKUP($C179,CadSet!$C$7:$E$26,3,FALSE))</f>
        <v/>
      </c>
      <c r="I179" s="91" t="str">
        <f>IF(F179="","",COUNTIFS(tbLancamentos[Equipamento],F179,tbLancamentos[Momento da falha],"&gt;="&amp;Res!$C$9,tbLancamentos[Momento da falha],"&lt;"&amp;Res!$O$9)+K179)</f>
        <v/>
      </c>
      <c r="J179" s="83" t="str">
        <f>IF(F179="","",SUMIFS(tbLancamentos[Tempo indisponível],tbLancamentos[Equipamento],F179,tbLancamentos[Momento da falha],"&gt;="&amp;Res!$C$9,tbLancamentos[Momento da falha],"&lt;"&amp;Res!$O$9)+K179)</f>
        <v/>
      </c>
      <c r="K179" s="79">
        <v>9.8279999999998605E-5</v>
      </c>
      <c r="L179" s="71" t="str">
        <f>IF(F179="","",IFERROR(COUNTIFS(tbLancamentos[Equipamento],F179,tbLancamentos[Momento da falha],"&gt;"&amp;0,tbLancamentos[Momento do retorno],""),0))</f>
        <v/>
      </c>
    </row>
    <row r="180" spans="2:12" ht="20.100000000000001" customHeight="1" x14ac:dyDescent="0.25">
      <c r="B180" s="87">
        <v>174</v>
      </c>
      <c r="C180" s="88"/>
      <c r="D180" s="74"/>
      <c r="E180" s="74"/>
      <c r="F180" s="84" t="str">
        <f t="shared" si="2"/>
        <v/>
      </c>
      <c r="G180" s="89" t="str">
        <f>IF(F180="","",VLOOKUP($C180,CadSet!$C$7:$E$26,2,FALSE))</f>
        <v/>
      </c>
      <c r="H180" s="90" t="str">
        <f>IF(G180="","",VLOOKUP($C180,CadSet!$C$7:$E$26,3,FALSE))</f>
        <v/>
      </c>
      <c r="I180" s="91" t="str">
        <f>IF(F180="","",COUNTIFS(tbLancamentos[Equipamento],F180,tbLancamentos[Momento da falha],"&gt;="&amp;Res!$C$9,tbLancamentos[Momento da falha],"&lt;"&amp;Res!$O$9)+K180)</f>
        <v/>
      </c>
      <c r="J180" s="83" t="str">
        <f>IF(F180="","",SUMIFS(tbLancamentos[Tempo indisponível],tbLancamentos[Equipamento],F180,tbLancamentos[Momento da falha],"&gt;="&amp;Res!$C$9,tbLancamentos[Momento da falha],"&lt;"&amp;Res!$O$9)+K180)</f>
        <v/>
      </c>
      <c r="K180" s="79">
        <v>9.8269999999998597E-5</v>
      </c>
      <c r="L180" s="71" t="str">
        <f>IF(F180="","",IFERROR(COUNTIFS(tbLancamentos[Equipamento],F180,tbLancamentos[Momento da falha],"&gt;"&amp;0,tbLancamentos[Momento do retorno],""),0))</f>
        <v/>
      </c>
    </row>
    <row r="181" spans="2:12" ht="20.100000000000001" customHeight="1" x14ac:dyDescent="0.25">
      <c r="B181" s="87">
        <v>175</v>
      </c>
      <c r="C181" s="88"/>
      <c r="D181" s="74"/>
      <c r="E181" s="74"/>
      <c r="F181" s="84" t="str">
        <f t="shared" si="2"/>
        <v/>
      </c>
      <c r="G181" s="89" t="str">
        <f>IF(F181="","",VLOOKUP($C181,CadSet!$C$7:$E$26,2,FALSE))</f>
        <v/>
      </c>
      <c r="H181" s="90" t="str">
        <f>IF(G181="","",VLOOKUP($C181,CadSet!$C$7:$E$26,3,FALSE))</f>
        <v/>
      </c>
      <c r="I181" s="91" t="str">
        <f>IF(F181="","",COUNTIFS(tbLancamentos[Equipamento],F181,tbLancamentos[Momento da falha],"&gt;="&amp;Res!$C$9,tbLancamentos[Momento da falha],"&lt;"&amp;Res!$O$9)+K181)</f>
        <v/>
      </c>
      <c r="J181" s="83" t="str">
        <f>IF(F181="","",SUMIFS(tbLancamentos[Tempo indisponível],tbLancamentos[Equipamento],F181,tbLancamentos[Momento da falha],"&gt;="&amp;Res!$C$9,tbLancamentos[Momento da falha],"&lt;"&amp;Res!$O$9)+K181)</f>
        <v/>
      </c>
      <c r="K181" s="79">
        <v>9.8259999999998493E-5</v>
      </c>
      <c r="L181" s="71" t="str">
        <f>IF(F181="","",IFERROR(COUNTIFS(tbLancamentos[Equipamento],F181,tbLancamentos[Momento da falha],"&gt;"&amp;0,tbLancamentos[Momento do retorno],""),0))</f>
        <v/>
      </c>
    </row>
    <row r="182" spans="2:12" ht="20.100000000000001" customHeight="1" x14ac:dyDescent="0.25">
      <c r="B182" s="87">
        <v>176</v>
      </c>
      <c r="C182" s="88"/>
      <c r="D182" s="74"/>
      <c r="E182" s="74"/>
      <c r="F182" s="84" t="str">
        <f t="shared" si="2"/>
        <v/>
      </c>
      <c r="G182" s="89" t="str">
        <f>IF(F182="","",VLOOKUP($C182,CadSet!$C$7:$E$26,2,FALSE))</f>
        <v/>
      </c>
      <c r="H182" s="90" t="str">
        <f>IF(G182="","",VLOOKUP($C182,CadSet!$C$7:$E$26,3,FALSE))</f>
        <v/>
      </c>
      <c r="I182" s="91" t="str">
        <f>IF(F182="","",COUNTIFS(tbLancamentos[Equipamento],F182,tbLancamentos[Momento da falha],"&gt;="&amp;Res!$C$9,tbLancamentos[Momento da falha],"&lt;"&amp;Res!$O$9)+K182)</f>
        <v/>
      </c>
      <c r="J182" s="83" t="str">
        <f>IF(F182="","",SUMIFS(tbLancamentos[Tempo indisponível],tbLancamentos[Equipamento],F182,tbLancamentos[Momento da falha],"&gt;="&amp;Res!$C$9,tbLancamentos[Momento da falha],"&lt;"&amp;Res!$O$9)+K182)</f>
        <v/>
      </c>
      <c r="K182" s="79">
        <v>9.8249999999998499E-5</v>
      </c>
      <c r="L182" s="71" t="str">
        <f>IF(F182="","",IFERROR(COUNTIFS(tbLancamentos[Equipamento],F182,tbLancamentos[Momento da falha],"&gt;"&amp;0,tbLancamentos[Momento do retorno],""),0))</f>
        <v/>
      </c>
    </row>
    <row r="183" spans="2:12" ht="20.100000000000001" customHeight="1" x14ac:dyDescent="0.25">
      <c r="B183" s="87">
        <v>177</v>
      </c>
      <c r="C183" s="88"/>
      <c r="D183" s="74"/>
      <c r="E183" s="74"/>
      <c r="F183" s="84" t="str">
        <f t="shared" si="2"/>
        <v/>
      </c>
      <c r="G183" s="89" t="str">
        <f>IF(F183="","",VLOOKUP($C183,CadSet!$C$7:$E$26,2,FALSE))</f>
        <v/>
      </c>
      <c r="H183" s="90" t="str">
        <f>IF(G183="","",VLOOKUP($C183,CadSet!$C$7:$E$26,3,FALSE))</f>
        <v/>
      </c>
      <c r="I183" s="91" t="str">
        <f>IF(F183="","",COUNTIFS(tbLancamentos[Equipamento],F183,tbLancamentos[Momento da falha],"&gt;="&amp;Res!$C$9,tbLancamentos[Momento da falha],"&lt;"&amp;Res!$O$9)+K183)</f>
        <v/>
      </c>
      <c r="J183" s="83" t="str">
        <f>IF(F183="","",SUMIFS(tbLancamentos[Tempo indisponível],tbLancamentos[Equipamento],F183,tbLancamentos[Momento da falha],"&gt;="&amp;Res!$C$9,tbLancamentos[Momento da falha],"&lt;"&amp;Res!$O$9)+K183)</f>
        <v/>
      </c>
      <c r="K183" s="79">
        <v>9.8239999999998504E-5</v>
      </c>
      <c r="L183" s="71" t="str">
        <f>IF(F183="","",IFERROR(COUNTIFS(tbLancamentos[Equipamento],F183,tbLancamentos[Momento da falha],"&gt;"&amp;0,tbLancamentos[Momento do retorno],""),0))</f>
        <v/>
      </c>
    </row>
    <row r="184" spans="2:12" ht="20.100000000000001" customHeight="1" x14ac:dyDescent="0.25">
      <c r="B184" s="87">
        <v>178</v>
      </c>
      <c r="C184" s="88"/>
      <c r="D184" s="74"/>
      <c r="E184" s="74"/>
      <c r="F184" s="84" t="str">
        <f t="shared" si="2"/>
        <v/>
      </c>
      <c r="G184" s="89" t="str">
        <f>IF(F184="","",VLOOKUP($C184,CadSet!$C$7:$E$26,2,FALSE))</f>
        <v/>
      </c>
      <c r="H184" s="90" t="str">
        <f>IF(G184="","",VLOOKUP($C184,CadSet!$C$7:$E$26,3,FALSE))</f>
        <v/>
      </c>
      <c r="I184" s="91" t="str">
        <f>IF(F184="","",COUNTIFS(tbLancamentos[Equipamento],F184,tbLancamentos[Momento da falha],"&gt;="&amp;Res!$C$9,tbLancamentos[Momento da falha],"&lt;"&amp;Res!$O$9)+K184)</f>
        <v/>
      </c>
      <c r="J184" s="83" t="str">
        <f>IF(F184="","",SUMIFS(tbLancamentos[Tempo indisponível],tbLancamentos[Equipamento],F184,tbLancamentos[Momento da falha],"&gt;="&amp;Res!$C$9,tbLancamentos[Momento da falha],"&lt;"&amp;Res!$O$9)+K184)</f>
        <v/>
      </c>
      <c r="K184" s="79">
        <v>9.8229999999998495E-5</v>
      </c>
      <c r="L184" s="71" t="str">
        <f>IF(F184="","",IFERROR(COUNTIFS(tbLancamentos[Equipamento],F184,tbLancamentos[Momento da falha],"&gt;"&amp;0,tbLancamentos[Momento do retorno],""),0))</f>
        <v/>
      </c>
    </row>
    <row r="185" spans="2:12" ht="20.100000000000001" customHeight="1" x14ac:dyDescent="0.25">
      <c r="B185" s="87">
        <v>179</v>
      </c>
      <c r="C185" s="88"/>
      <c r="D185" s="74"/>
      <c r="E185" s="74"/>
      <c r="F185" s="84" t="str">
        <f t="shared" si="2"/>
        <v/>
      </c>
      <c r="G185" s="89" t="str">
        <f>IF(F185="","",VLOOKUP($C185,CadSet!$C$7:$E$26,2,FALSE))</f>
        <v/>
      </c>
      <c r="H185" s="90" t="str">
        <f>IF(G185="","",VLOOKUP($C185,CadSet!$C$7:$E$26,3,FALSE))</f>
        <v/>
      </c>
      <c r="I185" s="91" t="str">
        <f>IF(F185="","",COUNTIFS(tbLancamentos[Equipamento],F185,tbLancamentos[Momento da falha],"&gt;="&amp;Res!$C$9,tbLancamentos[Momento da falha],"&lt;"&amp;Res!$O$9)+K185)</f>
        <v/>
      </c>
      <c r="J185" s="83" t="str">
        <f>IF(F185="","",SUMIFS(tbLancamentos[Tempo indisponível],tbLancamentos[Equipamento],F185,tbLancamentos[Momento da falha],"&gt;="&amp;Res!$C$9,tbLancamentos[Momento da falha],"&lt;"&amp;Res!$O$9)+K185)</f>
        <v/>
      </c>
      <c r="K185" s="79">
        <v>9.8219999999998501E-5</v>
      </c>
      <c r="L185" s="71" t="str">
        <f>IF(F185="","",IFERROR(COUNTIFS(tbLancamentos[Equipamento],F185,tbLancamentos[Momento da falha],"&gt;"&amp;0,tbLancamentos[Momento do retorno],""),0))</f>
        <v/>
      </c>
    </row>
    <row r="186" spans="2:12" ht="20.100000000000001" customHeight="1" x14ac:dyDescent="0.25">
      <c r="B186" s="87">
        <v>180</v>
      </c>
      <c r="C186" s="88"/>
      <c r="D186" s="74"/>
      <c r="E186" s="74"/>
      <c r="F186" s="84" t="str">
        <f t="shared" si="2"/>
        <v/>
      </c>
      <c r="G186" s="89" t="str">
        <f>IF(F186="","",VLOOKUP($C186,CadSet!$C$7:$E$26,2,FALSE))</f>
        <v/>
      </c>
      <c r="H186" s="90" t="str">
        <f>IF(G186="","",VLOOKUP($C186,CadSet!$C$7:$E$26,3,FALSE))</f>
        <v/>
      </c>
      <c r="I186" s="91" t="str">
        <f>IF(F186="","",COUNTIFS(tbLancamentos[Equipamento],F186,tbLancamentos[Momento da falha],"&gt;="&amp;Res!$C$9,tbLancamentos[Momento da falha],"&lt;"&amp;Res!$O$9)+K186)</f>
        <v/>
      </c>
      <c r="J186" s="83" t="str">
        <f>IF(F186="","",SUMIFS(tbLancamentos[Tempo indisponível],tbLancamentos[Equipamento],F186,tbLancamentos[Momento da falha],"&gt;="&amp;Res!$C$9,tbLancamentos[Momento da falha],"&lt;"&amp;Res!$O$9)+K186)</f>
        <v/>
      </c>
      <c r="K186" s="79">
        <v>9.8209999999998506E-5</v>
      </c>
      <c r="L186" s="71" t="str">
        <f>IF(F186="","",IFERROR(COUNTIFS(tbLancamentos[Equipamento],F186,tbLancamentos[Momento da falha],"&gt;"&amp;0,tbLancamentos[Momento do retorno],""),0))</f>
        <v/>
      </c>
    </row>
    <row r="187" spans="2:12" ht="20.100000000000001" customHeight="1" x14ac:dyDescent="0.25">
      <c r="B187" s="87">
        <v>181</v>
      </c>
      <c r="C187" s="88"/>
      <c r="D187" s="74"/>
      <c r="E187" s="74"/>
      <c r="F187" s="84" t="str">
        <f t="shared" si="2"/>
        <v/>
      </c>
      <c r="G187" s="89" t="str">
        <f>IF(F187="","",VLOOKUP($C187,CadSet!$C$7:$E$26,2,FALSE))</f>
        <v/>
      </c>
      <c r="H187" s="90" t="str">
        <f>IF(G187="","",VLOOKUP($C187,CadSet!$C$7:$E$26,3,FALSE))</f>
        <v/>
      </c>
      <c r="I187" s="91" t="str">
        <f>IF(F187="","",COUNTIFS(tbLancamentos[Equipamento],F187,tbLancamentos[Momento da falha],"&gt;="&amp;Res!$C$9,tbLancamentos[Momento da falha],"&lt;"&amp;Res!$O$9)+K187)</f>
        <v/>
      </c>
      <c r="J187" s="83" t="str">
        <f>IF(F187="","",SUMIFS(tbLancamentos[Tempo indisponível],tbLancamentos[Equipamento],F187,tbLancamentos[Momento da falha],"&gt;="&amp;Res!$C$9,tbLancamentos[Momento da falha],"&lt;"&amp;Res!$O$9)+K187)</f>
        <v/>
      </c>
      <c r="K187" s="79">
        <v>9.8199999999998497E-5</v>
      </c>
      <c r="L187" s="71" t="str">
        <f>IF(F187="","",IFERROR(COUNTIFS(tbLancamentos[Equipamento],F187,tbLancamentos[Momento da falha],"&gt;"&amp;0,tbLancamentos[Momento do retorno],""),0))</f>
        <v/>
      </c>
    </row>
    <row r="188" spans="2:12" ht="20.100000000000001" customHeight="1" x14ac:dyDescent="0.25">
      <c r="B188" s="87">
        <v>182</v>
      </c>
      <c r="C188" s="88"/>
      <c r="D188" s="74"/>
      <c r="E188" s="74"/>
      <c r="F188" s="84" t="str">
        <f t="shared" si="2"/>
        <v/>
      </c>
      <c r="G188" s="89" t="str">
        <f>IF(F188="","",VLOOKUP($C188,CadSet!$C$7:$E$26,2,FALSE))</f>
        <v/>
      </c>
      <c r="H188" s="90" t="str">
        <f>IF(G188="","",VLOOKUP($C188,CadSet!$C$7:$E$26,3,FALSE))</f>
        <v/>
      </c>
      <c r="I188" s="91" t="str">
        <f>IF(F188="","",COUNTIFS(tbLancamentos[Equipamento],F188,tbLancamentos[Momento da falha],"&gt;="&amp;Res!$C$9,tbLancamentos[Momento da falha],"&lt;"&amp;Res!$O$9)+K188)</f>
        <v/>
      </c>
      <c r="J188" s="83" t="str">
        <f>IF(F188="","",SUMIFS(tbLancamentos[Tempo indisponível],tbLancamentos[Equipamento],F188,tbLancamentos[Momento da falha],"&gt;="&amp;Res!$C$9,tbLancamentos[Momento da falha],"&lt;"&amp;Res!$O$9)+K188)</f>
        <v/>
      </c>
      <c r="K188" s="79">
        <v>9.8189999999998503E-5</v>
      </c>
      <c r="L188" s="71" t="str">
        <f>IF(F188="","",IFERROR(COUNTIFS(tbLancamentos[Equipamento],F188,tbLancamentos[Momento da falha],"&gt;"&amp;0,tbLancamentos[Momento do retorno],""),0))</f>
        <v/>
      </c>
    </row>
    <row r="189" spans="2:12" ht="20.100000000000001" customHeight="1" x14ac:dyDescent="0.25">
      <c r="B189" s="87">
        <v>183</v>
      </c>
      <c r="C189" s="88"/>
      <c r="D189" s="74"/>
      <c r="E189" s="74"/>
      <c r="F189" s="84" t="str">
        <f t="shared" si="2"/>
        <v/>
      </c>
      <c r="G189" s="89" t="str">
        <f>IF(F189="","",VLOOKUP($C189,CadSet!$C$7:$E$26,2,FALSE))</f>
        <v/>
      </c>
      <c r="H189" s="90" t="str">
        <f>IF(G189="","",VLOOKUP($C189,CadSet!$C$7:$E$26,3,FALSE))</f>
        <v/>
      </c>
      <c r="I189" s="91" t="str">
        <f>IF(F189="","",COUNTIFS(tbLancamentos[Equipamento],F189,tbLancamentos[Momento da falha],"&gt;="&amp;Res!$C$9,tbLancamentos[Momento da falha],"&lt;"&amp;Res!$O$9)+K189)</f>
        <v/>
      </c>
      <c r="J189" s="83" t="str">
        <f>IF(F189="","",SUMIFS(tbLancamentos[Tempo indisponível],tbLancamentos[Equipamento],F189,tbLancamentos[Momento da falha],"&gt;="&amp;Res!$C$9,tbLancamentos[Momento da falha],"&lt;"&amp;Res!$O$9)+K189)</f>
        <v/>
      </c>
      <c r="K189" s="79">
        <v>9.8179999999998494E-5</v>
      </c>
      <c r="L189" s="71" t="str">
        <f>IF(F189="","",IFERROR(COUNTIFS(tbLancamentos[Equipamento],F189,tbLancamentos[Momento da falha],"&gt;"&amp;0,tbLancamentos[Momento do retorno],""),0))</f>
        <v/>
      </c>
    </row>
    <row r="190" spans="2:12" ht="20.100000000000001" customHeight="1" x14ac:dyDescent="0.25">
      <c r="B190" s="87">
        <v>184</v>
      </c>
      <c r="C190" s="88"/>
      <c r="D190" s="74"/>
      <c r="E190" s="74"/>
      <c r="F190" s="84" t="str">
        <f t="shared" si="2"/>
        <v/>
      </c>
      <c r="G190" s="89" t="str">
        <f>IF(F190="","",VLOOKUP($C190,CadSet!$C$7:$E$26,2,FALSE))</f>
        <v/>
      </c>
      <c r="H190" s="90" t="str">
        <f>IF(G190="","",VLOOKUP($C190,CadSet!$C$7:$E$26,3,FALSE))</f>
        <v/>
      </c>
      <c r="I190" s="91" t="str">
        <f>IF(F190="","",COUNTIFS(tbLancamentos[Equipamento],F190,tbLancamentos[Momento da falha],"&gt;="&amp;Res!$C$9,tbLancamentos[Momento da falha],"&lt;"&amp;Res!$O$9)+K190)</f>
        <v/>
      </c>
      <c r="J190" s="83" t="str">
        <f>IF(F190="","",SUMIFS(tbLancamentos[Tempo indisponível],tbLancamentos[Equipamento],F190,tbLancamentos[Momento da falha],"&gt;="&amp;Res!$C$9,tbLancamentos[Momento da falha],"&lt;"&amp;Res!$O$9)+K190)</f>
        <v/>
      </c>
      <c r="K190" s="79">
        <v>9.8169999999998499E-5</v>
      </c>
      <c r="L190" s="71" t="str">
        <f>IF(F190="","",IFERROR(COUNTIFS(tbLancamentos[Equipamento],F190,tbLancamentos[Momento da falha],"&gt;"&amp;0,tbLancamentos[Momento do retorno],""),0))</f>
        <v/>
      </c>
    </row>
    <row r="191" spans="2:12" ht="20.100000000000001" customHeight="1" x14ac:dyDescent="0.25">
      <c r="B191" s="87">
        <v>185</v>
      </c>
      <c r="C191" s="88"/>
      <c r="D191" s="74"/>
      <c r="E191" s="74"/>
      <c r="F191" s="84" t="str">
        <f t="shared" si="2"/>
        <v/>
      </c>
      <c r="G191" s="89" t="str">
        <f>IF(F191="","",VLOOKUP($C191,CadSet!$C$7:$E$26,2,FALSE))</f>
        <v/>
      </c>
      <c r="H191" s="90" t="str">
        <f>IF(G191="","",VLOOKUP($C191,CadSet!$C$7:$E$26,3,FALSE))</f>
        <v/>
      </c>
      <c r="I191" s="91" t="str">
        <f>IF(F191="","",COUNTIFS(tbLancamentos[Equipamento],F191,tbLancamentos[Momento da falha],"&gt;="&amp;Res!$C$9,tbLancamentos[Momento da falha],"&lt;"&amp;Res!$O$9)+K191)</f>
        <v/>
      </c>
      <c r="J191" s="83" t="str">
        <f>IF(F191="","",SUMIFS(tbLancamentos[Tempo indisponível],tbLancamentos[Equipamento],F191,tbLancamentos[Momento da falha],"&gt;="&amp;Res!$C$9,tbLancamentos[Momento da falha],"&lt;"&amp;Res!$O$9)+K191)</f>
        <v/>
      </c>
      <c r="K191" s="79">
        <v>9.8159999999998505E-5</v>
      </c>
      <c r="L191" s="71" t="str">
        <f>IF(F191="","",IFERROR(COUNTIFS(tbLancamentos[Equipamento],F191,tbLancamentos[Momento da falha],"&gt;"&amp;0,tbLancamentos[Momento do retorno],""),0))</f>
        <v/>
      </c>
    </row>
    <row r="192" spans="2:12" ht="20.100000000000001" customHeight="1" x14ac:dyDescent="0.25">
      <c r="B192" s="87">
        <v>186</v>
      </c>
      <c r="C192" s="88"/>
      <c r="D192" s="74"/>
      <c r="E192" s="74"/>
      <c r="F192" s="84" t="str">
        <f t="shared" si="2"/>
        <v/>
      </c>
      <c r="G192" s="89" t="str">
        <f>IF(F192="","",VLOOKUP($C192,CadSet!$C$7:$E$26,2,FALSE))</f>
        <v/>
      </c>
      <c r="H192" s="90" t="str">
        <f>IF(G192="","",VLOOKUP($C192,CadSet!$C$7:$E$26,3,FALSE))</f>
        <v/>
      </c>
      <c r="I192" s="91" t="str">
        <f>IF(F192="","",COUNTIFS(tbLancamentos[Equipamento],F192,tbLancamentos[Momento da falha],"&gt;="&amp;Res!$C$9,tbLancamentos[Momento da falha],"&lt;"&amp;Res!$O$9)+K192)</f>
        <v/>
      </c>
      <c r="J192" s="83" t="str">
        <f>IF(F192="","",SUMIFS(tbLancamentos[Tempo indisponível],tbLancamentos[Equipamento],F192,tbLancamentos[Momento da falha],"&gt;="&amp;Res!$C$9,tbLancamentos[Momento da falha],"&lt;"&amp;Res!$O$9)+K192)</f>
        <v/>
      </c>
      <c r="K192" s="79">
        <v>9.8149999999998496E-5</v>
      </c>
      <c r="L192" s="71" t="str">
        <f>IF(F192="","",IFERROR(COUNTIFS(tbLancamentos[Equipamento],F192,tbLancamentos[Momento da falha],"&gt;"&amp;0,tbLancamentos[Momento do retorno],""),0))</f>
        <v/>
      </c>
    </row>
    <row r="193" spans="2:12" ht="20.100000000000001" customHeight="1" x14ac:dyDescent="0.25">
      <c r="B193" s="87">
        <v>187</v>
      </c>
      <c r="C193" s="88"/>
      <c r="D193" s="74"/>
      <c r="E193" s="74"/>
      <c r="F193" s="84" t="str">
        <f t="shared" si="2"/>
        <v/>
      </c>
      <c r="G193" s="89" t="str">
        <f>IF(F193="","",VLOOKUP($C193,CadSet!$C$7:$E$26,2,FALSE))</f>
        <v/>
      </c>
      <c r="H193" s="90" t="str">
        <f>IF(G193="","",VLOOKUP($C193,CadSet!$C$7:$E$26,3,FALSE))</f>
        <v/>
      </c>
      <c r="I193" s="91" t="str">
        <f>IF(F193="","",COUNTIFS(tbLancamentos[Equipamento],F193,tbLancamentos[Momento da falha],"&gt;="&amp;Res!$C$9,tbLancamentos[Momento da falha],"&lt;"&amp;Res!$O$9)+K193)</f>
        <v/>
      </c>
      <c r="J193" s="83" t="str">
        <f>IF(F193="","",SUMIFS(tbLancamentos[Tempo indisponível],tbLancamentos[Equipamento],F193,tbLancamentos[Momento da falha],"&gt;="&amp;Res!$C$9,tbLancamentos[Momento da falha],"&lt;"&amp;Res!$O$9)+K193)</f>
        <v/>
      </c>
      <c r="K193" s="79">
        <v>9.8139999999998406E-5</v>
      </c>
      <c r="L193" s="71" t="str">
        <f>IF(F193="","",IFERROR(COUNTIFS(tbLancamentos[Equipamento],F193,tbLancamentos[Momento da falha],"&gt;"&amp;0,tbLancamentos[Momento do retorno],""),0))</f>
        <v/>
      </c>
    </row>
    <row r="194" spans="2:12" ht="20.100000000000001" customHeight="1" x14ac:dyDescent="0.25">
      <c r="B194" s="87">
        <v>188</v>
      </c>
      <c r="C194" s="88"/>
      <c r="D194" s="74"/>
      <c r="E194" s="74"/>
      <c r="F194" s="84" t="str">
        <f t="shared" si="2"/>
        <v/>
      </c>
      <c r="G194" s="89" t="str">
        <f>IF(F194="","",VLOOKUP($C194,CadSet!$C$7:$E$26,2,FALSE))</f>
        <v/>
      </c>
      <c r="H194" s="90" t="str">
        <f>IF(G194="","",VLOOKUP($C194,CadSet!$C$7:$E$26,3,FALSE))</f>
        <v/>
      </c>
      <c r="I194" s="91" t="str">
        <f>IF(F194="","",COUNTIFS(tbLancamentos[Equipamento],F194,tbLancamentos[Momento da falha],"&gt;="&amp;Res!$C$9,tbLancamentos[Momento da falha],"&lt;"&amp;Res!$O$9)+K194)</f>
        <v/>
      </c>
      <c r="J194" s="83" t="str">
        <f>IF(F194="","",SUMIFS(tbLancamentos[Tempo indisponível],tbLancamentos[Equipamento],F194,tbLancamentos[Momento da falha],"&gt;="&amp;Res!$C$9,tbLancamentos[Momento da falha],"&lt;"&amp;Res!$O$9)+K194)</f>
        <v/>
      </c>
      <c r="K194" s="79">
        <v>9.8129999999998398E-5</v>
      </c>
      <c r="L194" s="71" t="str">
        <f>IF(F194="","",IFERROR(COUNTIFS(tbLancamentos[Equipamento],F194,tbLancamentos[Momento da falha],"&gt;"&amp;0,tbLancamentos[Momento do retorno],""),0))</f>
        <v/>
      </c>
    </row>
    <row r="195" spans="2:12" ht="20.100000000000001" customHeight="1" x14ac:dyDescent="0.25">
      <c r="B195" s="87">
        <v>189</v>
      </c>
      <c r="C195" s="88"/>
      <c r="D195" s="74"/>
      <c r="E195" s="74"/>
      <c r="F195" s="84" t="str">
        <f t="shared" si="2"/>
        <v/>
      </c>
      <c r="G195" s="89" t="str">
        <f>IF(F195="","",VLOOKUP($C195,CadSet!$C$7:$E$26,2,FALSE))</f>
        <v/>
      </c>
      <c r="H195" s="90" t="str">
        <f>IF(G195="","",VLOOKUP($C195,CadSet!$C$7:$E$26,3,FALSE))</f>
        <v/>
      </c>
      <c r="I195" s="91" t="str">
        <f>IF(F195="","",COUNTIFS(tbLancamentos[Equipamento],F195,tbLancamentos[Momento da falha],"&gt;="&amp;Res!$C$9,tbLancamentos[Momento da falha],"&lt;"&amp;Res!$O$9)+K195)</f>
        <v/>
      </c>
      <c r="J195" s="83" t="str">
        <f>IF(F195="","",SUMIFS(tbLancamentos[Tempo indisponível],tbLancamentos[Equipamento],F195,tbLancamentos[Momento da falha],"&gt;="&amp;Res!$C$9,tbLancamentos[Momento da falha],"&lt;"&amp;Res!$O$9)+K195)</f>
        <v/>
      </c>
      <c r="K195" s="79">
        <v>9.8119999999998403E-5</v>
      </c>
      <c r="L195" s="71" t="str">
        <f>IF(F195="","",IFERROR(COUNTIFS(tbLancamentos[Equipamento],F195,tbLancamentos[Momento da falha],"&gt;"&amp;0,tbLancamentos[Momento do retorno],""),0))</f>
        <v/>
      </c>
    </row>
    <row r="196" spans="2:12" ht="20.100000000000001" customHeight="1" x14ac:dyDescent="0.25">
      <c r="B196" s="87">
        <v>190</v>
      </c>
      <c r="C196" s="88"/>
      <c r="D196" s="74"/>
      <c r="E196" s="74"/>
      <c r="F196" s="84" t="str">
        <f t="shared" si="2"/>
        <v/>
      </c>
      <c r="G196" s="89" t="str">
        <f>IF(F196="","",VLOOKUP($C196,CadSet!$C$7:$E$26,2,FALSE))</f>
        <v/>
      </c>
      <c r="H196" s="90" t="str">
        <f>IF(G196="","",VLOOKUP($C196,CadSet!$C$7:$E$26,3,FALSE))</f>
        <v/>
      </c>
      <c r="I196" s="91" t="str">
        <f>IF(F196="","",COUNTIFS(tbLancamentos[Equipamento],F196,tbLancamentos[Momento da falha],"&gt;="&amp;Res!$C$9,tbLancamentos[Momento da falha],"&lt;"&amp;Res!$O$9)+K196)</f>
        <v/>
      </c>
      <c r="J196" s="83" t="str">
        <f>IF(F196="","",SUMIFS(tbLancamentos[Tempo indisponível],tbLancamentos[Equipamento],F196,tbLancamentos[Momento da falha],"&gt;="&amp;Res!$C$9,tbLancamentos[Momento da falha],"&lt;"&amp;Res!$O$9)+K196)</f>
        <v/>
      </c>
      <c r="K196" s="79">
        <v>9.8109999999998395E-5</v>
      </c>
      <c r="L196" s="71" t="str">
        <f>IF(F196="","",IFERROR(COUNTIFS(tbLancamentos[Equipamento],F196,tbLancamentos[Momento da falha],"&gt;"&amp;0,tbLancamentos[Momento do retorno],""),0))</f>
        <v/>
      </c>
    </row>
    <row r="197" spans="2:12" ht="20.100000000000001" customHeight="1" x14ac:dyDescent="0.25">
      <c r="B197" s="87">
        <v>191</v>
      </c>
      <c r="C197" s="88"/>
      <c r="D197" s="74"/>
      <c r="E197" s="74"/>
      <c r="F197" s="84" t="str">
        <f t="shared" si="2"/>
        <v/>
      </c>
      <c r="G197" s="89" t="str">
        <f>IF(F197="","",VLOOKUP($C197,CadSet!$C$7:$E$26,2,FALSE))</f>
        <v/>
      </c>
      <c r="H197" s="90" t="str">
        <f>IF(G197="","",VLOOKUP($C197,CadSet!$C$7:$E$26,3,FALSE))</f>
        <v/>
      </c>
      <c r="I197" s="91" t="str">
        <f>IF(F197="","",COUNTIFS(tbLancamentos[Equipamento],F197,tbLancamentos[Momento da falha],"&gt;="&amp;Res!$C$9,tbLancamentos[Momento da falha],"&lt;"&amp;Res!$O$9)+K197)</f>
        <v/>
      </c>
      <c r="J197" s="83" t="str">
        <f>IF(F197="","",SUMIFS(tbLancamentos[Tempo indisponível],tbLancamentos[Equipamento],F197,tbLancamentos[Momento da falha],"&gt;="&amp;Res!$C$9,tbLancamentos[Momento da falha],"&lt;"&amp;Res!$O$9)+K197)</f>
        <v/>
      </c>
      <c r="K197" s="79">
        <v>9.80999999999984E-5</v>
      </c>
      <c r="L197" s="71" t="str">
        <f>IF(F197="","",IFERROR(COUNTIFS(tbLancamentos[Equipamento],F197,tbLancamentos[Momento da falha],"&gt;"&amp;0,tbLancamentos[Momento do retorno],""),0))</f>
        <v/>
      </c>
    </row>
    <row r="198" spans="2:12" ht="20.100000000000001" customHeight="1" x14ac:dyDescent="0.25">
      <c r="B198" s="87">
        <v>192</v>
      </c>
      <c r="C198" s="88"/>
      <c r="D198" s="74"/>
      <c r="E198" s="74"/>
      <c r="F198" s="84" t="str">
        <f t="shared" si="2"/>
        <v/>
      </c>
      <c r="G198" s="89" t="str">
        <f>IF(F198="","",VLOOKUP($C198,CadSet!$C$7:$E$26,2,FALSE))</f>
        <v/>
      </c>
      <c r="H198" s="90" t="str">
        <f>IF(G198="","",VLOOKUP($C198,CadSet!$C$7:$E$26,3,FALSE))</f>
        <v/>
      </c>
      <c r="I198" s="91" t="str">
        <f>IF(F198="","",COUNTIFS(tbLancamentos[Equipamento],F198,tbLancamentos[Momento da falha],"&gt;="&amp;Res!$C$9,tbLancamentos[Momento da falha],"&lt;"&amp;Res!$O$9)+K198)</f>
        <v/>
      </c>
      <c r="J198" s="83" t="str">
        <f>IF(F198="","",SUMIFS(tbLancamentos[Tempo indisponível],tbLancamentos[Equipamento],F198,tbLancamentos[Momento da falha],"&gt;="&amp;Res!$C$9,tbLancamentos[Momento da falha],"&lt;"&amp;Res!$O$9)+K198)</f>
        <v/>
      </c>
      <c r="K198" s="79">
        <v>9.8089999999998405E-5</v>
      </c>
      <c r="L198" s="71" t="str">
        <f>IF(F198="","",IFERROR(COUNTIFS(tbLancamentos[Equipamento],F198,tbLancamentos[Momento da falha],"&gt;"&amp;0,tbLancamentos[Momento do retorno],""),0))</f>
        <v/>
      </c>
    </row>
    <row r="199" spans="2:12" ht="20.100000000000001" customHeight="1" x14ac:dyDescent="0.25">
      <c r="B199" s="87">
        <v>193</v>
      </c>
      <c r="C199" s="88"/>
      <c r="D199" s="74"/>
      <c r="E199" s="74"/>
      <c r="F199" s="84" t="str">
        <f t="shared" si="2"/>
        <v/>
      </c>
      <c r="G199" s="89" t="str">
        <f>IF(F199="","",VLOOKUP($C199,CadSet!$C$7:$E$26,2,FALSE))</f>
        <v/>
      </c>
      <c r="H199" s="90" t="str">
        <f>IF(G199="","",VLOOKUP($C199,CadSet!$C$7:$E$26,3,FALSE))</f>
        <v/>
      </c>
      <c r="I199" s="91" t="str">
        <f>IF(F199="","",COUNTIFS(tbLancamentos[Equipamento],F199,tbLancamentos[Momento da falha],"&gt;="&amp;Res!$C$9,tbLancamentos[Momento da falha],"&lt;"&amp;Res!$O$9)+K199)</f>
        <v/>
      </c>
      <c r="J199" s="83" t="str">
        <f>IF(F199="","",SUMIFS(tbLancamentos[Tempo indisponível],tbLancamentos[Equipamento],F199,tbLancamentos[Momento da falha],"&gt;="&amp;Res!$C$9,tbLancamentos[Momento da falha],"&lt;"&amp;Res!$O$9)+K199)</f>
        <v/>
      </c>
      <c r="K199" s="79">
        <v>9.8079999999998397E-5</v>
      </c>
      <c r="L199" s="71" t="str">
        <f>IF(F199="","",IFERROR(COUNTIFS(tbLancamentos[Equipamento],F199,tbLancamentos[Momento da falha],"&gt;"&amp;0,tbLancamentos[Momento do retorno],""),0))</f>
        <v/>
      </c>
    </row>
    <row r="200" spans="2:12" ht="20.100000000000001" customHeight="1" x14ac:dyDescent="0.25">
      <c r="B200" s="87">
        <v>194</v>
      </c>
      <c r="C200" s="88"/>
      <c r="D200" s="74"/>
      <c r="E200" s="74"/>
      <c r="F200" s="84" t="str">
        <f t="shared" ref="F200:F263" si="3">IF(AND(C200&lt;&gt;"",D200&lt;&gt;""),C200&amp;" - "&amp;D200,"")</f>
        <v/>
      </c>
      <c r="G200" s="89" t="str">
        <f>IF(F200="","",VLOOKUP($C200,CadSet!$C$7:$E$26,2,FALSE))</f>
        <v/>
      </c>
      <c r="H200" s="90" t="str">
        <f>IF(G200="","",VLOOKUP($C200,CadSet!$C$7:$E$26,3,FALSE))</f>
        <v/>
      </c>
      <c r="I200" s="91" t="str">
        <f>IF(F200="","",COUNTIFS(tbLancamentos[Equipamento],F200,tbLancamentos[Momento da falha],"&gt;="&amp;Res!$C$9,tbLancamentos[Momento da falha],"&lt;"&amp;Res!$O$9)+K200)</f>
        <v/>
      </c>
      <c r="J200" s="83" t="str">
        <f>IF(F200="","",SUMIFS(tbLancamentos[Tempo indisponível],tbLancamentos[Equipamento],F200,tbLancamentos[Momento da falha],"&gt;="&amp;Res!$C$9,tbLancamentos[Momento da falha],"&lt;"&amp;Res!$O$9)+K200)</f>
        <v/>
      </c>
      <c r="K200" s="79">
        <v>9.8069999999998402E-5</v>
      </c>
      <c r="L200" s="71" t="str">
        <f>IF(F200="","",IFERROR(COUNTIFS(tbLancamentos[Equipamento],F200,tbLancamentos[Momento da falha],"&gt;"&amp;0,tbLancamentos[Momento do retorno],""),0))</f>
        <v/>
      </c>
    </row>
    <row r="201" spans="2:12" ht="20.100000000000001" customHeight="1" x14ac:dyDescent="0.25">
      <c r="B201" s="87">
        <v>195</v>
      </c>
      <c r="C201" s="88"/>
      <c r="D201" s="74"/>
      <c r="E201" s="74"/>
      <c r="F201" s="84" t="str">
        <f t="shared" si="3"/>
        <v/>
      </c>
      <c r="G201" s="89" t="str">
        <f>IF(F201="","",VLOOKUP($C201,CadSet!$C$7:$E$26,2,FALSE))</f>
        <v/>
      </c>
      <c r="H201" s="90" t="str">
        <f>IF(G201="","",VLOOKUP($C201,CadSet!$C$7:$E$26,3,FALSE))</f>
        <v/>
      </c>
      <c r="I201" s="91" t="str">
        <f>IF(F201="","",COUNTIFS(tbLancamentos[Equipamento],F201,tbLancamentos[Momento da falha],"&gt;="&amp;Res!$C$9,tbLancamentos[Momento da falha],"&lt;"&amp;Res!$O$9)+K201)</f>
        <v/>
      </c>
      <c r="J201" s="83" t="str">
        <f>IF(F201="","",SUMIFS(tbLancamentos[Tempo indisponível],tbLancamentos[Equipamento],F201,tbLancamentos[Momento da falha],"&gt;="&amp;Res!$C$9,tbLancamentos[Momento da falha],"&lt;"&amp;Res!$O$9)+K201)</f>
        <v/>
      </c>
      <c r="K201" s="79">
        <v>9.8059999999998394E-5</v>
      </c>
      <c r="L201" s="71" t="str">
        <f>IF(F201="","",IFERROR(COUNTIFS(tbLancamentos[Equipamento],F201,tbLancamentos[Momento da falha],"&gt;"&amp;0,tbLancamentos[Momento do retorno],""),0))</f>
        <v/>
      </c>
    </row>
    <row r="202" spans="2:12" ht="20.100000000000001" customHeight="1" x14ac:dyDescent="0.25">
      <c r="B202" s="87">
        <v>196</v>
      </c>
      <c r="C202" s="88"/>
      <c r="D202" s="74"/>
      <c r="E202" s="74"/>
      <c r="F202" s="84" t="str">
        <f t="shared" si="3"/>
        <v/>
      </c>
      <c r="G202" s="89" t="str">
        <f>IF(F202="","",VLOOKUP($C202,CadSet!$C$7:$E$26,2,FALSE))</f>
        <v/>
      </c>
      <c r="H202" s="90" t="str">
        <f>IF(G202="","",VLOOKUP($C202,CadSet!$C$7:$E$26,3,FALSE))</f>
        <v/>
      </c>
      <c r="I202" s="91" t="str">
        <f>IF(F202="","",COUNTIFS(tbLancamentos[Equipamento],F202,tbLancamentos[Momento da falha],"&gt;="&amp;Res!$C$9,tbLancamentos[Momento da falha],"&lt;"&amp;Res!$O$9)+K202)</f>
        <v/>
      </c>
      <c r="J202" s="83" t="str">
        <f>IF(F202="","",SUMIFS(tbLancamentos[Tempo indisponível],tbLancamentos[Equipamento],F202,tbLancamentos[Momento da falha],"&gt;="&amp;Res!$C$9,tbLancamentos[Momento da falha],"&lt;"&amp;Res!$O$9)+K202)</f>
        <v/>
      </c>
      <c r="K202" s="79">
        <v>9.8049999999998399E-5</v>
      </c>
      <c r="L202" s="71" t="str">
        <f>IF(F202="","",IFERROR(COUNTIFS(tbLancamentos[Equipamento],F202,tbLancamentos[Momento da falha],"&gt;"&amp;0,tbLancamentos[Momento do retorno],""),0))</f>
        <v/>
      </c>
    </row>
    <row r="203" spans="2:12" ht="20.100000000000001" customHeight="1" x14ac:dyDescent="0.25">
      <c r="B203" s="87">
        <v>197</v>
      </c>
      <c r="C203" s="88"/>
      <c r="D203" s="74"/>
      <c r="E203" s="74"/>
      <c r="F203" s="84" t="str">
        <f t="shared" si="3"/>
        <v/>
      </c>
      <c r="G203" s="89" t="str">
        <f>IF(F203="","",VLOOKUP($C203,CadSet!$C$7:$E$26,2,FALSE))</f>
        <v/>
      </c>
      <c r="H203" s="90" t="str">
        <f>IF(G203="","",VLOOKUP($C203,CadSet!$C$7:$E$26,3,FALSE))</f>
        <v/>
      </c>
      <c r="I203" s="91" t="str">
        <f>IF(F203="","",COUNTIFS(tbLancamentos[Equipamento],F203,tbLancamentos[Momento da falha],"&gt;="&amp;Res!$C$9,tbLancamentos[Momento da falha],"&lt;"&amp;Res!$O$9)+K203)</f>
        <v/>
      </c>
      <c r="J203" s="83" t="str">
        <f>IF(F203="","",SUMIFS(tbLancamentos[Tempo indisponível],tbLancamentos[Equipamento],F203,tbLancamentos[Momento da falha],"&gt;="&amp;Res!$C$9,tbLancamentos[Momento da falha],"&lt;"&amp;Res!$O$9)+K203)</f>
        <v/>
      </c>
      <c r="K203" s="79">
        <v>9.8039999999998404E-5</v>
      </c>
      <c r="L203" s="71" t="str">
        <f>IF(F203="","",IFERROR(COUNTIFS(tbLancamentos[Equipamento],F203,tbLancamentos[Momento da falha],"&gt;"&amp;0,tbLancamentos[Momento do retorno],""),0))</f>
        <v/>
      </c>
    </row>
    <row r="204" spans="2:12" ht="20.100000000000001" customHeight="1" x14ac:dyDescent="0.25">
      <c r="B204" s="87">
        <v>198</v>
      </c>
      <c r="C204" s="88"/>
      <c r="D204" s="74"/>
      <c r="E204" s="74"/>
      <c r="F204" s="84" t="str">
        <f t="shared" si="3"/>
        <v/>
      </c>
      <c r="G204" s="89" t="str">
        <f>IF(F204="","",VLOOKUP($C204,CadSet!$C$7:$E$26,2,FALSE))</f>
        <v/>
      </c>
      <c r="H204" s="90" t="str">
        <f>IF(G204="","",VLOOKUP($C204,CadSet!$C$7:$E$26,3,FALSE))</f>
        <v/>
      </c>
      <c r="I204" s="91" t="str">
        <f>IF(F204="","",COUNTIFS(tbLancamentos[Equipamento],F204,tbLancamentos[Momento da falha],"&gt;="&amp;Res!$C$9,tbLancamentos[Momento da falha],"&lt;"&amp;Res!$O$9)+K204)</f>
        <v/>
      </c>
      <c r="J204" s="83" t="str">
        <f>IF(F204="","",SUMIFS(tbLancamentos[Tempo indisponível],tbLancamentos[Equipamento],F204,tbLancamentos[Momento da falha],"&gt;="&amp;Res!$C$9,tbLancamentos[Momento da falha],"&lt;"&amp;Res!$O$9)+K204)</f>
        <v/>
      </c>
      <c r="K204" s="79">
        <v>9.8029999999998396E-5</v>
      </c>
      <c r="L204" s="71" t="str">
        <f>IF(F204="","",IFERROR(COUNTIFS(tbLancamentos[Equipamento],F204,tbLancamentos[Momento da falha],"&gt;"&amp;0,tbLancamentos[Momento do retorno],""),0))</f>
        <v/>
      </c>
    </row>
    <row r="205" spans="2:12" ht="20.100000000000001" customHeight="1" x14ac:dyDescent="0.25">
      <c r="B205" s="87">
        <v>199</v>
      </c>
      <c r="C205" s="88"/>
      <c r="D205" s="74"/>
      <c r="E205" s="74"/>
      <c r="F205" s="84" t="str">
        <f t="shared" si="3"/>
        <v/>
      </c>
      <c r="G205" s="89" t="str">
        <f>IF(F205="","",VLOOKUP($C205,CadSet!$C$7:$E$26,2,FALSE))</f>
        <v/>
      </c>
      <c r="H205" s="90" t="str">
        <f>IF(G205="","",VLOOKUP($C205,CadSet!$C$7:$E$26,3,FALSE))</f>
        <v/>
      </c>
      <c r="I205" s="91" t="str">
        <f>IF(F205="","",COUNTIFS(tbLancamentos[Equipamento],F205,tbLancamentos[Momento da falha],"&gt;="&amp;Res!$C$9,tbLancamentos[Momento da falha],"&lt;"&amp;Res!$O$9)+K205)</f>
        <v/>
      </c>
      <c r="J205" s="83" t="str">
        <f>IF(F205="","",SUMIFS(tbLancamentos[Tempo indisponível],tbLancamentos[Equipamento],F205,tbLancamentos[Momento da falha],"&gt;="&amp;Res!$C$9,tbLancamentos[Momento da falha],"&lt;"&amp;Res!$O$9)+K205)</f>
        <v/>
      </c>
      <c r="K205" s="79">
        <v>9.8019999999998306E-5</v>
      </c>
      <c r="L205" s="71" t="str">
        <f>IF(F205="","",IFERROR(COUNTIFS(tbLancamentos[Equipamento],F205,tbLancamentos[Momento da falha],"&gt;"&amp;0,tbLancamentos[Momento do retorno],""),0))</f>
        <v/>
      </c>
    </row>
    <row r="206" spans="2:12" ht="20.100000000000001" customHeight="1" x14ac:dyDescent="0.25">
      <c r="B206" s="87">
        <v>200</v>
      </c>
      <c r="C206" s="88"/>
      <c r="D206" s="74"/>
      <c r="E206" s="74"/>
      <c r="F206" s="84" t="str">
        <f t="shared" si="3"/>
        <v/>
      </c>
      <c r="G206" s="89" t="str">
        <f>IF(F206="","",VLOOKUP($C206,CadSet!$C$7:$E$26,2,FALSE))</f>
        <v/>
      </c>
      <c r="H206" s="90" t="str">
        <f>IF(G206="","",VLOOKUP($C206,CadSet!$C$7:$E$26,3,FALSE))</f>
        <v/>
      </c>
      <c r="I206" s="91" t="str">
        <f>IF(F206="","",COUNTIFS(tbLancamentos[Equipamento],F206,tbLancamentos[Momento da falha],"&gt;="&amp;Res!$C$9,tbLancamentos[Momento da falha],"&lt;"&amp;Res!$O$9)+K206)</f>
        <v/>
      </c>
      <c r="J206" s="83" t="str">
        <f>IF(F206="","",SUMIFS(tbLancamentos[Tempo indisponível],tbLancamentos[Equipamento],F206,tbLancamentos[Momento da falha],"&gt;="&amp;Res!$C$9,tbLancamentos[Momento da falha],"&lt;"&amp;Res!$O$9)+K206)</f>
        <v/>
      </c>
      <c r="K206" s="79">
        <v>9.8009999999998298E-5</v>
      </c>
      <c r="L206" s="71" t="str">
        <f>IF(F206="","",IFERROR(COUNTIFS(tbLancamentos[Equipamento],F206,tbLancamentos[Momento da falha],"&gt;"&amp;0,tbLancamentos[Momento do retorno],""),0))</f>
        <v/>
      </c>
    </row>
    <row r="207" spans="2:12" ht="20.100000000000001" customHeight="1" x14ac:dyDescent="0.25">
      <c r="B207" s="87">
        <v>201</v>
      </c>
      <c r="C207" s="88"/>
      <c r="D207" s="74"/>
      <c r="E207" s="74"/>
      <c r="F207" s="84" t="str">
        <f t="shared" si="3"/>
        <v/>
      </c>
      <c r="G207" s="89" t="str">
        <f>IF(F207="","",VLOOKUP($C207,CadSet!$C$7:$E$26,2,FALSE))</f>
        <v/>
      </c>
      <c r="H207" s="90" t="str">
        <f>IF(G207="","",VLOOKUP($C207,CadSet!$C$7:$E$26,3,FALSE))</f>
        <v/>
      </c>
      <c r="I207" s="91" t="str">
        <f>IF(F207="","",COUNTIFS(tbLancamentos[Equipamento],F207,tbLancamentos[Momento da falha],"&gt;="&amp;Res!$C$9,tbLancamentos[Momento da falha],"&lt;"&amp;Res!$O$9)+K207)</f>
        <v/>
      </c>
      <c r="J207" s="83" t="str">
        <f>IF(F207="","",SUMIFS(tbLancamentos[Tempo indisponível],tbLancamentos[Equipamento],F207,tbLancamentos[Momento da falha],"&gt;="&amp;Res!$C$9,tbLancamentos[Momento da falha],"&lt;"&amp;Res!$O$9)+K207)</f>
        <v/>
      </c>
      <c r="K207" s="79">
        <v>9.7999999999998303E-5</v>
      </c>
      <c r="L207" s="71" t="str">
        <f>IF(F207="","",IFERROR(COUNTIFS(tbLancamentos[Equipamento],F207,tbLancamentos[Momento da falha],"&gt;"&amp;0,tbLancamentos[Momento do retorno],""),0))</f>
        <v/>
      </c>
    </row>
    <row r="208" spans="2:12" ht="20.100000000000001" customHeight="1" x14ac:dyDescent="0.25">
      <c r="B208" s="87">
        <v>202</v>
      </c>
      <c r="C208" s="88"/>
      <c r="D208" s="74"/>
      <c r="E208" s="74"/>
      <c r="F208" s="84" t="str">
        <f t="shared" si="3"/>
        <v/>
      </c>
      <c r="G208" s="89" t="str">
        <f>IF(F208="","",VLOOKUP($C208,CadSet!$C$7:$E$26,2,FALSE))</f>
        <v/>
      </c>
      <c r="H208" s="90" t="str">
        <f>IF(G208="","",VLOOKUP($C208,CadSet!$C$7:$E$26,3,FALSE))</f>
        <v/>
      </c>
      <c r="I208" s="91" t="str">
        <f>IF(F208="","",COUNTIFS(tbLancamentos[Equipamento],F208,tbLancamentos[Momento da falha],"&gt;="&amp;Res!$C$9,tbLancamentos[Momento da falha],"&lt;"&amp;Res!$O$9)+K208)</f>
        <v/>
      </c>
      <c r="J208" s="83" t="str">
        <f>IF(F208="","",SUMIFS(tbLancamentos[Tempo indisponível],tbLancamentos[Equipamento],F208,tbLancamentos[Momento da falha],"&gt;="&amp;Res!$C$9,tbLancamentos[Momento da falha],"&lt;"&amp;Res!$O$9)+K208)</f>
        <v/>
      </c>
      <c r="K208" s="79">
        <v>9.7989999999998294E-5</v>
      </c>
      <c r="L208" s="71" t="str">
        <f>IF(F208="","",IFERROR(COUNTIFS(tbLancamentos[Equipamento],F208,tbLancamentos[Momento da falha],"&gt;"&amp;0,tbLancamentos[Momento do retorno],""),0))</f>
        <v/>
      </c>
    </row>
    <row r="209" spans="2:12" ht="20.100000000000001" customHeight="1" x14ac:dyDescent="0.25">
      <c r="B209" s="87">
        <v>203</v>
      </c>
      <c r="C209" s="88"/>
      <c r="D209" s="74"/>
      <c r="E209" s="74"/>
      <c r="F209" s="84" t="str">
        <f t="shared" si="3"/>
        <v/>
      </c>
      <c r="G209" s="89" t="str">
        <f>IF(F209="","",VLOOKUP($C209,CadSet!$C$7:$E$26,2,FALSE))</f>
        <v/>
      </c>
      <c r="H209" s="90" t="str">
        <f>IF(G209="","",VLOOKUP($C209,CadSet!$C$7:$E$26,3,FALSE))</f>
        <v/>
      </c>
      <c r="I209" s="91" t="str">
        <f>IF(F209="","",COUNTIFS(tbLancamentos[Equipamento],F209,tbLancamentos[Momento da falha],"&gt;="&amp;Res!$C$9,tbLancamentos[Momento da falha],"&lt;"&amp;Res!$O$9)+K209)</f>
        <v/>
      </c>
      <c r="J209" s="83" t="str">
        <f>IF(F209="","",SUMIFS(tbLancamentos[Tempo indisponível],tbLancamentos[Equipamento],F209,tbLancamentos[Momento da falha],"&gt;="&amp;Res!$C$9,tbLancamentos[Momento da falha],"&lt;"&amp;Res!$O$9)+K209)</f>
        <v/>
      </c>
      <c r="K209" s="79">
        <v>9.79799999999983E-5</v>
      </c>
      <c r="L209" s="71" t="str">
        <f>IF(F209="","",IFERROR(COUNTIFS(tbLancamentos[Equipamento],F209,tbLancamentos[Momento da falha],"&gt;"&amp;0,tbLancamentos[Momento do retorno],""),0))</f>
        <v/>
      </c>
    </row>
    <row r="210" spans="2:12" ht="20.100000000000001" customHeight="1" x14ac:dyDescent="0.25">
      <c r="B210" s="87">
        <v>204</v>
      </c>
      <c r="C210" s="88"/>
      <c r="D210" s="74"/>
      <c r="E210" s="74"/>
      <c r="F210" s="84" t="str">
        <f t="shared" si="3"/>
        <v/>
      </c>
      <c r="G210" s="89" t="str">
        <f>IF(F210="","",VLOOKUP($C210,CadSet!$C$7:$E$26,2,FALSE))</f>
        <v/>
      </c>
      <c r="H210" s="90" t="str">
        <f>IF(G210="","",VLOOKUP($C210,CadSet!$C$7:$E$26,3,FALSE))</f>
        <v/>
      </c>
      <c r="I210" s="91" t="str">
        <f>IF(F210="","",COUNTIFS(tbLancamentos[Equipamento],F210,tbLancamentos[Momento da falha],"&gt;="&amp;Res!$C$9,tbLancamentos[Momento da falha],"&lt;"&amp;Res!$O$9)+K210)</f>
        <v/>
      </c>
      <c r="J210" s="83" t="str">
        <f>IF(F210="","",SUMIFS(tbLancamentos[Tempo indisponível],tbLancamentos[Equipamento],F210,tbLancamentos[Momento da falha],"&gt;="&amp;Res!$C$9,tbLancamentos[Momento da falha],"&lt;"&amp;Res!$O$9)+K210)</f>
        <v/>
      </c>
      <c r="K210" s="79">
        <v>9.7969999999998305E-5</v>
      </c>
      <c r="L210" s="71" t="str">
        <f>IF(F210="","",IFERROR(COUNTIFS(tbLancamentos[Equipamento],F210,tbLancamentos[Momento da falha],"&gt;"&amp;0,tbLancamentos[Momento do retorno],""),0))</f>
        <v/>
      </c>
    </row>
    <row r="211" spans="2:12" ht="20.100000000000001" customHeight="1" x14ac:dyDescent="0.25">
      <c r="B211" s="87">
        <v>205</v>
      </c>
      <c r="C211" s="88"/>
      <c r="D211" s="74"/>
      <c r="E211" s="74"/>
      <c r="F211" s="84" t="str">
        <f t="shared" si="3"/>
        <v/>
      </c>
      <c r="G211" s="89" t="str">
        <f>IF(F211="","",VLOOKUP($C211,CadSet!$C$7:$E$26,2,FALSE))</f>
        <v/>
      </c>
      <c r="H211" s="90" t="str">
        <f>IF(G211="","",VLOOKUP($C211,CadSet!$C$7:$E$26,3,FALSE))</f>
        <v/>
      </c>
      <c r="I211" s="91" t="str">
        <f>IF(F211="","",COUNTIFS(tbLancamentos[Equipamento],F211,tbLancamentos[Momento da falha],"&gt;="&amp;Res!$C$9,tbLancamentos[Momento da falha],"&lt;"&amp;Res!$O$9)+K211)</f>
        <v/>
      </c>
      <c r="J211" s="83" t="str">
        <f>IF(F211="","",SUMIFS(tbLancamentos[Tempo indisponível],tbLancamentos[Equipamento],F211,tbLancamentos[Momento da falha],"&gt;="&amp;Res!$C$9,tbLancamentos[Momento da falha],"&lt;"&amp;Res!$O$9)+K211)</f>
        <v/>
      </c>
      <c r="K211" s="79">
        <v>9.7959999999998296E-5</v>
      </c>
      <c r="L211" s="71" t="str">
        <f>IF(F211="","",IFERROR(COUNTIFS(tbLancamentos[Equipamento],F211,tbLancamentos[Momento da falha],"&gt;"&amp;0,tbLancamentos[Momento do retorno],""),0))</f>
        <v/>
      </c>
    </row>
    <row r="212" spans="2:12" ht="20.100000000000001" customHeight="1" x14ac:dyDescent="0.25">
      <c r="B212" s="87">
        <v>206</v>
      </c>
      <c r="C212" s="88"/>
      <c r="D212" s="74"/>
      <c r="E212" s="74"/>
      <c r="F212" s="84" t="str">
        <f t="shared" si="3"/>
        <v/>
      </c>
      <c r="G212" s="89" t="str">
        <f>IF(F212="","",VLOOKUP($C212,CadSet!$C$7:$E$26,2,FALSE))</f>
        <v/>
      </c>
      <c r="H212" s="90" t="str">
        <f>IF(G212="","",VLOOKUP($C212,CadSet!$C$7:$E$26,3,FALSE))</f>
        <v/>
      </c>
      <c r="I212" s="91" t="str">
        <f>IF(F212="","",COUNTIFS(tbLancamentos[Equipamento],F212,tbLancamentos[Momento da falha],"&gt;="&amp;Res!$C$9,tbLancamentos[Momento da falha],"&lt;"&amp;Res!$O$9)+K212)</f>
        <v/>
      </c>
      <c r="J212" s="83" t="str">
        <f>IF(F212="","",SUMIFS(tbLancamentos[Tempo indisponível],tbLancamentos[Equipamento],F212,tbLancamentos[Momento da falha],"&gt;="&amp;Res!$C$9,tbLancamentos[Momento da falha],"&lt;"&amp;Res!$O$9)+K212)</f>
        <v/>
      </c>
      <c r="K212" s="79">
        <v>9.7949999999998302E-5</v>
      </c>
      <c r="L212" s="71" t="str">
        <f>IF(F212="","",IFERROR(COUNTIFS(tbLancamentos[Equipamento],F212,tbLancamentos[Momento da falha],"&gt;"&amp;0,tbLancamentos[Momento do retorno],""),0))</f>
        <v/>
      </c>
    </row>
    <row r="213" spans="2:12" ht="20.100000000000001" customHeight="1" x14ac:dyDescent="0.25">
      <c r="B213" s="87">
        <v>207</v>
      </c>
      <c r="C213" s="88"/>
      <c r="D213" s="74"/>
      <c r="E213" s="74"/>
      <c r="F213" s="84" t="str">
        <f t="shared" si="3"/>
        <v/>
      </c>
      <c r="G213" s="89" t="str">
        <f>IF(F213="","",VLOOKUP($C213,CadSet!$C$7:$E$26,2,FALSE))</f>
        <v/>
      </c>
      <c r="H213" s="90" t="str">
        <f>IF(G213="","",VLOOKUP($C213,CadSet!$C$7:$E$26,3,FALSE))</f>
        <v/>
      </c>
      <c r="I213" s="91" t="str">
        <f>IF(F213="","",COUNTIFS(tbLancamentos[Equipamento],F213,tbLancamentos[Momento da falha],"&gt;="&amp;Res!$C$9,tbLancamentos[Momento da falha],"&lt;"&amp;Res!$O$9)+K213)</f>
        <v/>
      </c>
      <c r="J213" s="83" t="str">
        <f>IF(F213="","",SUMIFS(tbLancamentos[Tempo indisponível],tbLancamentos[Equipamento],F213,tbLancamentos[Momento da falha],"&gt;="&amp;Res!$C$9,tbLancamentos[Momento da falha],"&lt;"&amp;Res!$O$9)+K213)</f>
        <v/>
      </c>
      <c r="K213" s="79">
        <v>9.7939999999998307E-5</v>
      </c>
      <c r="L213" s="71" t="str">
        <f>IF(F213="","",IFERROR(COUNTIFS(tbLancamentos[Equipamento],F213,tbLancamentos[Momento da falha],"&gt;"&amp;0,tbLancamentos[Momento do retorno],""),0))</f>
        <v/>
      </c>
    </row>
    <row r="214" spans="2:12" ht="20.100000000000001" customHeight="1" x14ac:dyDescent="0.25">
      <c r="B214" s="87">
        <v>208</v>
      </c>
      <c r="C214" s="88"/>
      <c r="D214" s="74"/>
      <c r="E214" s="74"/>
      <c r="F214" s="84" t="str">
        <f t="shared" si="3"/>
        <v/>
      </c>
      <c r="G214" s="89" t="str">
        <f>IF(F214="","",VLOOKUP($C214,CadSet!$C$7:$E$26,2,FALSE))</f>
        <v/>
      </c>
      <c r="H214" s="90" t="str">
        <f>IF(G214="","",VLOOKUP($C214,CadSet!$C$7:$E$26,3,FALSE))</f>
        <v/>
      </c>
      <c r="I214" s="91" t="str">
        <f>IF(F214="","",COUNTIFS(tbLancamentos[Equipamento],F214,tbLancamentos[Momento da falha],"&gt;="&amp;Res!$C$9,tbLancamentos[Momento da falha],"&lt;"&amp;Res!$O$9)+K214)</f>
        <v/>
      </c>
      <c r="J214" s="83" t="str">
        <f>IF(F214="","",SUMIFS(tbLancamentos[Tempo indisponível],tbLancamentos[Equipamento],F214,tbLancamentos[Momento da falha],"&gt;="&amp;Res!$C$9,tbLancamentos[Momento da falha],"&lt;"&amp;Res!$O$9)+K214)</f>
        <v/>
      </c>
      <c r="K214" s="79">
        <v>9.7929999999998298E-5</v>
      </c>
      <c r="L214" s="71" t="str">
        <f>IF(F214="","",IFERROR(COUNTIFS(tbLancamentos[Equipamento],F214,tbLancamentos[Momento da falha],"&gt;"&amp;0,tbLancamentos[Momento do retorno],""),0))</f>
        <v/>
      </c>
    </row>
    <row r="215" spans="2:12" ht="20.100000000000001" customHeight="1" x14ac:dyDescent="0.25">
      <c r="B215" s="87">
        <v>209</v>
      </c>
      <c r="C215" s="88"/>
      <c r="D215" s="74"/>
      <c r="E215" s="74"/>
      <c r="F215" s="84" t="str">
        <f t="shared" si="3"/>
        <v/>
      </c>
      <c r="G215" s="89" t="str">
        <f>IF(F215="","",VLOOKUP($C215,CadSet!$C$7:$E$26,2,FALSE))</f>
        <v/>
      </c>
      <c r="H215" s="90" t="str">
        <f>IF(G215="","",VLOOKUP($C215,CadSet!$C$7:$E$26,3,FALSE))</f>
        <v/>
      </c>
      <c r="I215" s="91" t="str">
        <f>IF(F215="","",COUNTIFS(tbLancamentos[Equipamento],F215,tbLancamentos[Momento da falha],"&gt;="&amp;Res!$C$9,tbLancamentos[Momento da falha],"&lt;"&amp;Res!$O$9)+K215)</f>
        <v/>
      </c>
      <c r="J215" s="83" t="str">
        <f>IF(F215="","",SUMIFS(tbLancamentos[Tempo indisponível],tbLancamentos[Equipamento],F215,tbLancamentos[Momento da falha],"&gt;="&amp;Res!$C$9,tbLancamentos[Momento da falha],"&lt;"&amp;Res!$O$9)+K215)</f>
        <v/>
      </c>
      <c r="K215" s="79">
        <v>9.7919999999998304E-5</v>
      </c>
      <c r="L215" s="71" t="str">
        <f>IF(F215="","",IFERROR(COUNTIFS(tbLancamentos[Equipamento],F215,tbLancamentos[Momento da falha],"&gt;"&amp;0,tbLancamentos[Momento do retorno],""),0))</f>
        <v/>
      </c>
    </row>
    <row r="216" spans="2:12" ht="20.100000000000001" customHeight="1" x14ac:dyDescent="0.25">
      <c r="B216" s="87">
        <v>210</v>
      </c>
      <c r="C216" s="88"/>
      <c r="D216" s="74"/>
      <c r="E216" s="74"/>
      <c r="F216" s="84" t="str">
        <f t="shared" si="3"/>
        <v/>
      </c>
      <c r="G216" s="89" t="str">
        <f>IF(F216="","",VLOOKUP($C216,CadSet!$C$7:$E$26,2,FALSE))</f>
        <v/>
      </c>
      <c r="H216" s="90" t="str">
        <f>IF(G216="","",VLOOKUP($C216,CadSet!$C$7:$E$26,3,FALSE))</f>
        <v/>
      </c>
      <c r="I216" s="91" t="str">
        <f>IF(F216="","",COUNTIFS(tbLancamentos[Equipamento],F216,tbLancamentos[Momento da falha],"&gt;="&amp;Res!$C$9,tbLancamentos[Momento da falha],"&lt;"&amp;Res!$O$9)+K216)</f>
        <v/>
      </c>
      <c r="J216" s="83" t="str">
        <f>IF(F216="","",SUMIFS(tbLancamentos[Tempo indisponível],tbLancamentos[Equipamento],F216,tbLancamentos[Momento da falha],"&gt;="&amp;Res!$C$9,tbLancamentos[Momento da falha],"&lt;"&amp;Res!$O$9)+K216)</f>
        <v/>
      </c>
      <c r="K216" s="79">
        <v>9.7909999999998295E-5</v>
      </c>
      <c r="L216" s="71" t="str">
        <f>IF(F216="","",IFERROR(COUNTIFS(tbLancamentos[Equipamento],F216,tbLancamentos[Momento da falha],"&gt;"&amp;0,tbLancamentos[Momento do retorno],""),0))</f>
        <v/>
      </c>
    </row>
    <row r="217" spans="2:12" ht="20.100000000000001" customHeight="1" x14ac:dyDescent="0.25">
      <c r="B217" s="87">
        <v>211</v>
      </c>
      <c r="C217" s="88"/>
      <c r="D217" s="74"/>
      <c r="E217" s="74"/>
      <c r="F217" s="84" t="str">
        <f t="shared" si="3"/>
        <v/>
      </c>
      <c r="G217" s="89" t="str">
        <f>IF(F217="","",VLOOKUP($C217,CadSet!$C$7:$E$26,2,FALSE))</f>
        <v/>
      </c>
      <c r="H217" s="90" t="str">
        <f>IF(G217="","",VLOOKUP($C217,CadSet!$C$7:$E$26,3,FALSE))</f>
        <v/>
      </c>
      <c r="I217" s="91" t="str">
        <f>IF(F217="","",COUNTIFS(tbLancamentos[Equipamento],F217,tbLancamentos[Momento da falha],"&gt;="&amp;Res!$C$9,tbLancamentos[Momento da falha],"&lt;"&amp;Res!$O$9)+K217)</f>
        <v/>
      </c>
      <c r="J217" s="83" t="str">
        <f>IF(F217="","",SUMIFS(tbLancamentos[Tempo indisponível],tbLancamentos[Equipamento],F217,tbLancamentos[Momento da falha],"&gt;="&amp;Res!$C$9,tbLancamentos[Momento da falha],"&lt;"&amp;Res!$O$9)+K217)</f>
        <v/>
      </c>
      <c r="K217" s="79">
        <v>9.7899999999998205E-5</v>
      </c>
      <c r="L217" s="71" t="str">
        <f>IF(F217="","",IFERROR(COUNTIFS(tbLancamentos[Equipamento],F217,tbLancamentos[Momento da falha],"&gt;"&amp;0,tbLancamentos[Momento do retorno],""),0))</f>
        <v/>
      </c>
    </row>
    <row r="218" spans="2:12" ht="20.100000000000001" customHeight="1" x14ac:dyDescent="0.25">
      <c r="B218" s="87">
        <v>212</v>
      </c>
      <c r="C218" s="88"/>
      <c r="D218" s="74"/>
      <c r="E218" s="74"/>
      <c r="F218" s="84" t="str">
        <f t="shared" si="3"/>
        <v/>
      </c>
      <c r="G218" s="89" t="str">
        <f>IF(F218="","",VLOOKUP($C218,CadSet!$C$7:$E$26,2,FALSE))</f>
        <v/>
      </c>
      <c r="H218" s="90" t="str">
        <f>IF(G218="","",VLOOKUP($C218,CadSet!$C$7:$E$26,3,FALSE))</f>
        <v/>
      </c>
      <c r="I218" s="91" t="str">
        <f>IF(F218="","",COUNTIFS(tbLancamentos[Equipamento],F218,tbLancamentos[Momento da falha],"&gt;="&amp;Res!$C$9,tbLancamentos[Momento da falha],"&lt;"&amp;Res!$O$9)+K218)</f>
        <v/>
      </c>
      <c r="J218" s="83" t="str">
        <f>IF(F218="","",SUMIFS(tbLancamentos[Tempo indisponível],tbLancamentos[Equipamento],F218,tbLancamentos[Momento da falha],"&gt;="&amp;Res!$C$9,tbLancamentos[Momento da falha],"&lt;"&amp;Res!$O$9)+K218)</f>
        <v/>
      </c>
      <c r="K218" s="79">
        <v>9.7889999999998197E-5</v>
      </c>
      <c r="L218" s="71" t="str">
        <f>IF(F218="","",IFERROR(COUNTIFS(tbLancamentos[Equipamento],F218,tbLancamentos[Momento da falha],"&gt;"&amp;0,tbLancamentos[Momento do retorno],""),0))</f>
        <v/>
      </c>
    </row>
    <row r="219" spans="2:12" ht="20.100000000000001" customHeight="1" x14ac:dyDescent="0.25">
      <c r="B219" s="87">
        <v>213</v>
      </c>
      <c r="C219" s="88"/>
      <c r="D219" s="74"/>
      <c r="E219" s="74"/>
      <c r="F219" s="84" t="str">
        <f t="shared" si="3"/>
        <v/>
      </c>
      <c r="G219" s="89" t="str">
        <f>IF(F219="","",VLOOKUP($C219,CadSet!$C$7:$E$26,2,FALSE))</f>
        <v/>
      </c>
      <c r="H219" s="90" t="str">
        <f>IF(G219="","",VLOOKUP($C219,CadSet!$C$7:$E$26,3,FALSE))</f>
        <v/>
      </c>
      <c r="I219" s="91" t="str">
        <f>IF(F219="","",COUNTIFS(tbLancamentos[Equipamento],F219,tbLancamentos[Momento da falha],"&gt;="&amp;Res!$C$9,tbLancamentos[Momento da falha],"&lt;"&amp;Res!$O$9)+K219)</f>
        <v/>
      </c>
      <c r="J219" s="83" t="str">
        <f>IF(F219="","",SUMIFS(tbLancamentos[Tempo indisponível],tbLancamentos[Equipamento],F219,tbLancamentos[Momento da falha],"&gt;="&amp;Res!$C$9,tbLancamentos[Momento da falha],"&lt;"&amp;Res!$O$9)+K219)</f>
        <v/>
      </c>
      <c r="K219" s="79">
        <v>9.7879999999998202E-5</v>
      </c>
      <c r="L219" s="71" t="str">
        <f>IF(F219="","",IFERROR(COUNTIFS(tbLancamentos[Equipamento],F219,tbLancamentos[Momento da falha],"&gt;"&amp;0,tbLancamentos[Momento do retorno],""),0))</f>
        <v/>
      </c>
    </row>
    <row r="220" spans="2:12" ht="20.100000000000001" customHeight="1" x14ac:dyDescent="0.25">
      <c r="B220" s="87">
        <v>214</v>
      </c>
      <c r="C220" s="88"/>
      <c r="D220" s="74"/>
      <c r="E220" s="74"/>
      <c r="F220" s="84" t="str">
        <f t="shared" si="3"/>
        <v/>
      </c>
      <c r="G220" s="89" t="str">
        <f>IF(F220="","",VLOOKUP($C220,CadSet!$C$7:$E$26,2,FALSE))</f>
        <v/>
      </c>
      <c r="H220" s="90" t="str">
        <f>IF(G220="","",VLOOKUP($C220,CadSet!$C$7:$E$26,3,FALSE))</f>
        <v/>
      </c>
      <c r="I220" s="91" t="str">
        <f>IF(F220="","",COUNTIFS(tbLancamentos[Equipamento],F220,tbLancamentos[Momento da falha],"&gt;="&amp;Res!$C$9,tbLancamentos[Momento da falha],"&lt;"&amp;Res!$O$9)+K220)</f>
        <v/>
      </c>
      <c r="J220" s="83" t="str">
        <f>IF(F220="","",SUMIFS(tbLancamentos[Tempo indisponível],tbLancamentos[Equipamento],F220,tbLancamentos[Momento da falha],"&gt;="&amp;Res!$C$9,tbLancamentos[Momento da falha],"&lt;"&amp;Res!$O$9)+K220)</f>
        <v/>
      </c>
      <c r="K220" s="79">
        <v>9.7869999999998194E-5</v>
      </c>
      <c r="L220" s="71" t="str">
        <f>IF(F220="","",IFERROR(COUNTIFS(tbLancamentos[Equipamento],F220,tbLancamentos[Momento da falha],"&gt;"&amp;0,tbLancamentos[Momento do retorno],""),0))</f>
        <v/>
      </c>
    </row>
    <row r="221" spans="2:12" ht="20.100000000000001" customHeight="1" x14ac:dyDescent="0.25">
      <c r="B221" s="87">
        <v>215</v>
      </c>
      <c r="C221" s="88"/>
      <c r="D221" s="74"/>
      <c r="E221" s="74"/>
      <c r="F221" s="84" t="str">
        <f t="shared" si="3"/>
        <v/>
      </c>
      <c r="G221" s="89" t="str">
        <f>IF(F221="","",VLOOKUP($C221,CadSet!$C$7:$E$26,2,FALSE))</f>
        <v/>
      </c>
      <c r="H221" s="90" t="str">
        <f>IF(G221="","",VLOOKUP($C221,CadSet!$C$7:$E$26,3,FALSE))</f>
        <v/>
      </c>
      <c r="I221" s="91" t="str">
        <f>IF(F221="","",COUNTIFS(tbLancamentos[Equipamento],F221,tbLancamentos[Momento da falha],"&gt;="&amp;Res!$C$9,tbLancamentos[Momento da falha],"&lt;"&amp;Res!$O$9)+K221)</f>
        <v/>
      </c>
      <c r="J221" s="83" t="str">
        <f>IF(F221="","",SUMIFS(tbLancamentos[Tempo indisponível],tbLancamentos[Equipamento],F221,tbLancamentos[Momento da falha],"&gt;="&amp;Res!$C$9,tbLancamentos[Momento da falha],"&lt;"&amp;Res!$O$9)+K221)</f>
        <v/>
      </c>
      <c r="K221" s="79">
        <v>9.7859999999998199E-5</v>
      </c>
      <c r="L221" s="71" t="str">
        <f>IF(F221="","",IFERROR(COUNTIFS(tbLancamentos[Equipamento],F221,tbLancamentos[Momento da falha],"&gt;"&amp;0,tbLancamentos[Momento do retorno],""),0))</f>
        <v/>
      </c>
    </row>
    <row r="222" spans="2:12" ht="20.100000000000001" customHeight="1" x14ac:dyDescent="0.25">
      <c r="B222" s="87">
        <v>216</v>
      </c>
      <c r="C222" s="88"/>
      <c r="D222" s="74"/>
      <c r="E222" s="74"/>
      <c r="F222" s="84" t="str">
        <f t="shared" si="3"/>
        <v/>
      </c>
      <c r="G222" s="89" t="str">
        <f>IF(F222="","",VLOOKUP($C222,CadSet!$C$7:$E$26,2,FALSE))</f>
        <v/>
      </c>
      <c r="H222" s="90" t="str">
        <f>IF(G222="","",VLOOKUP($C222,CadSet!$C$7:$E$26,3,FALSE))</f>
        <v/>
      </c>
      <c r="I222" s="91" t="str">
        <f>IF(F222="","",COUNTIFS(tbLancamentos[Equipamento],F222,tbLancamentos[Momento da falha],"&gt;="&amp;Res!$C$9,tbLancamentos[Momento da falha],"&lt;"&amp;Res!$O$9)+K222)</f>
        <v/>
      </c>
      <c r="J222" s="83" t="str">
        <f>IF(F222="","",SUMIFS(tbLancamentos[Tempo indisponível],tbLancamentos[Equipamento],F222,tbLancamentos[Momento da falha],"&gt;="&amp;Res!$C$9,tbLancamentos[Momento da falha],"&lt;"&amp;Res!$O$9)+K222)</f>
        <v/>
      </c>
      <c r="K222" s="79">
        <v>9.7849999999998204E-5</v>
      </c>
      <c r="L222" s="71" t="str">
        <f>IF(F222="","",IFERROR(COUNTIFS(tbLancamentos[Equipamento],F222,tbLancamentos[Momento da falha],"&gt;"&amp;0,tbLancamentos[Momento do retorno],""),0))</f>
        <v/>
      </c>
    </row>
    <row r="223" spans="2:12" ht="20.100000000000001" customHeight="1" x14ac:dyDescent="0.25">
      <c r="B223" s="87">
        <v>217</v>
      </c>
      <c r="C223" s="88"/>
      <c r="D223" s="74"/>
      <c r="E223" s="74"/>
      <c r="F223" s="84" t="str">
        <f t="shared" si="3"/>
        <v/>
      </c>
      <c r="G223" s="89" t="str">
        <f>IF(F223="","",VLOOKUP($C223,CadSet!$C$7:$E$26,2,FALSE))</f>
        <v/>
      </c>
      <c r="H223" s="90" t="str">
        <f>IF(G223="","",VLOOKUP($C223,CadSet!$C$7:$E$26,3,FALSE))</f>
        <v/>
      </c>
      <c r="I223" s="91" t="str">
        <f>IF(F223="","",COUNTIFS(tbLancamentos[Equipamento],F223,tbLancamentos[Momento da falha],"&gt;="&amp;Res!$C$9,tbLancamentos[Momento da falha],"&lt;"&amp;Res!$O$9)+K223)</f>
        <v/>
      </c>
      <c r="J223" s="83" t="str">
        <f>IF(F223="","",SUMIFS(tbLancamentos[Tempo indisponível],tbLancamentos[Equipamento],F223,tbLancamentos[Momento da falha],"&gt;="&amp;Res!$C$9,tbLancamentos[Momento da falha],"&lt;"&amp;Res!$O$9)+K223)</f>
        <v/>
      </c>
      <c r="K223" s="79">
        <v>9.7839999999998196E-5</v>
      </c>
      <c r="L223" s="71" t="str">
        <f>IF(F223="","",IFERROR(COUNTIFS(tbLancamentos[Equipamento],F223,tbLancamentos[Momento da falha],"&gt;"&amp;0,tbLancamentos[Momento do retorno],""),0))</f>
        <v/>
      </c>
    </row>
    <row r="224" spans="2:12" ht="20.100000000000001" customHeight="1" x14ac:dyDescent="0.25">
      <c r="B224" s="87">
        <v>218</v>
      </c>
      <c r="C224" s="88"/>
      <c r="D224" s="74"/>
      <c r="E224" s="74"/>
      <c r="F224" s="84" t="str">
        <f t="shared" si="3"/>
        <v/>
      </c>
      <c r="G224" s="89" t="str">
        <f>IF(F224="","",VLOOKUP($C224,CadSet!$C$7:$E$26,2,FALSE))</f>
        <v/>
      </c>
      <c r="H224" s="90" t="str">
        <f>IF(G224="","",VLOOKUP($C224,CadSet!$C$7:$E$26,3,FALSE))</f>
        <v/>
      </c>
      <c r="I224" s="91" t="str">
        <f>IF(F224="","",COUNTIFS(tbLancamentos[Equipamento],F224,tbLancamentos[Momento da falha],"&gt;="&amp;Res!$C$9,tbLancamentos[Momento da falha],"&lt;"&amp;Res!$O$9)+K224)</f>
        <v/>
      </c>
      <c r="J224" s="83" t="str">
        <f>IF(F224="","",SUMIFS(tbLancamentos[Tempo indisponível],tbLancamentos[Equipamento],F224,tbLancamentos[Momento da falha],"&gt;="&amp;Res!$C$9,tbLancamentos[Momento da falha],"&lt;"&amp;Res!$O$9)+K224)</f>
        <v/>
      </c>
      <c r="K224" s="79">
        <v>9.7829999999998201E-5</v>
      </c>
      <c r="L224" s="71" t="str">
        <f>IF(F224="","",IFERROR(COUNTIFS(tbLancamentos[Equipamento],F224,tbLancamentos[Momento da falha],"&gt;"&amp;0,tbLancamentos[Momento do retorno],""),0))</f>
        <v/>
      </c>
    </row>
    <row r="225" spans="2:12" ht="20.100000000000001" customHeight="1" x14ac:dyDescent="0.25">
      <c r="B225" s="87">
        <v>219</v>
      </c>
      <c r="C225" s="88"/>
      <c r="D225" s="74"/>
      <c r="E225" s="74"/>
      <c r="F225" s="84" t="str">
        <f t="shared" si="3"/>
        <v/>
      </c>
      <c r="G225" s="89" t="str">
        <f>IF(F225="","",VLOOKUP($C225,CadSet!$C$7:$E$26,2,FALSE))</f>
        <v/>
      </c>
      <c r="H225" s="90" t="str">
        <f>IF(G225="","",VLOOKUP($C225,CadSet!$C$7:$E$26,3,FALSE))</f>
        <v/>
      </c>
      <c r="I225" s="91" t="str">
        <f>IF(F225="","",COUNTIFS(tbLancamentos[Equipamento],F225,tbLancamentos[Momento da falha],"&gt;="&amp;Res!$C$9,tbLancamentos[Momento da falha],"&lt;"&amp;Res!$O$9)+K225)</f>
        <v/>
      </c>
      <c r="J225" s="83" t="str">
        <f>IF(F225="","",SUMIFS(tbLancamentos[Tempo indisponível],tbLancamentos[Equipamento],F225,tbLancamentos[Momento da falha],"&gt;="&amp;Res!$C$9,tbLancamentos[Momento da falha],"&lt;"&amp;Res!$O$9)+K225)</f>
        <v/>
      </c>
      <c r="K225" s="79">
        <v>9.7819999999998206E-5</v>
      </c>
      <c r="L225" s="71" t="str">
        <f>IF(F225="","",IFERROR(COUNTIFS(tbLancamentos[Equipamento],F225,tbLancamentos[Momento da falha],"&gt;"&amp;0,tbLancamentos[Momento do retorno],""),0))</f>
        <v/>
      </c>
    </row>
    <row r="226" spans="2:12" ht="20.100000000000001" customHeight="1" x14ac:dyDescent="0.25">
      <c r="B226" s="87">
        <v>220</v>
      </c>
      <c r="C226" s="88"/>
      <c r="D226" s="74"/>
      <c r="E226" s="74"/>
      <c r="F226" s="84" t="str">
        <f t="shared" si="3"/>
        <v/>
      </c>
      <c r="G226" s="89" t="str">
        <f>IF(F226="","",VLOOKUP($C226,CadSet!$C$7:$E$26,2,FALSE))</f>
        <v/>
      </c>
      <c r="H226" s="90" t="str">
        <f>IF(G226="","",VLOOKUP($C226,CadSet!$C$7:$E$26,3,FALSE))</f>
        <v/>
      </c>
      <c r="I226" s="91" t="str">
        <f>IF(F226="","",COUNTIFS(tbLancamentos[Equipamento],F226,tbLancamentos[Momento da falha],"&gt;="&amp;Res!$C$9,tbLancamentos[Momento da falha],"&lt;"&amp;Res!$O$9)+K226)</f>
        <v/>
      </c>
      <c r="J226" s="83" t="str">
        <f>IF(F226="","",SUMIFS(tbLancamentos[Tempo indisponível],tbLancamentos[Equipamento],F226,tbLancamentos[Momento da falha],"&gt;="&amp;Res!$C$9,tbLancamentos[Momento da falha],"&lt;"&amp;Res!$O$9)+K226)</f>
        <v/>
      </c>
      <c r="K226" s="79">
        <v>9.7809999999998198E-5</v>
      </c>
      <c r="L226" s="71" t="str">
        <f>IF(F226="","",IFERROR(COUNTIFS(tbLancamentos[Equipamento],F226,tbLancamentos[Momento da falha],"&gt;"&amp;0,tbLancamentos[Momento do retorno],""),0))</f>
        <v/>
      </c>
    </row>
    <row r="227" spans="2:12" ht="20.100000000000001" customHeight="1" x14ac:dyDescent="0.25">
      <c r="B227" s="87">
        <v>221</v>
      </c>
      <c r="C227" s="88"/>
      <c r="D227" s="74"/>
      <c r="E227" s="74"/>
      <c r="F227" s="84" t="str">
        <f t="shared" si="3"/>
        <v/>
      </c>
      <c r="G227" s="89" t="str">
        <f>IF(F227="","",VLOOKUP($C227,CadSet!$C$7:$E$26,2,FALSE))</f>
        <v/>
      </c>
      <c r="H227" s="90" t="str">
        <f>IF(G227="","",VLOOKUP($C227,CadSet!$C$7:$E$26,3,FALSE))</f>
        <v/>
      </c>
      <c r="I227" s="91" t="str">
        <f>IF(F227="","",COUNTIFS(tbLancamentos[Equipamento],F227,tbLancamentos[Momento da falha],"&gt;="&amp;Res!$C$9,tbLancamentos[Momento da falha],"&lt;"&amp;Res!$O$9)+K227)</f>
        <v/>
      </c>
      <c r="J227" s="83" t="str">
        <f>IF(F227="","",SUMIFS(tbLancamentos[Tempo indisponível],tbLancamentos[Equipamento],F227,tbLancamentos[Momento da falha],"&gt;="&amp;Res!$C$9,tbLancamentos[Momento da falha],"&lt;"&amp;Res!$O$9)+K227)</f>
        <v/>
      </c>
      <c r="K227" s="79">
        <v>9.7799999999998203E-5</v>
      </c>
      <c r="L227" s="71" t="str">
        <f>IF(F227="","",IFERROR(COUNTIFS(tbLancamentos[Equipamento],F227,tbLancamentos[Momento da falha],"&gt;"&amp;0,tbLancamentos[Momento do retorno],""),0))</f>
        <v/>
      </c>
    </row>
    <row r="228" spans="2:12" ht="20.100000000000001" customHeight="1" x14ac:dyDescent="0.25">
      <c r="B228" s="87">
        <v>222</v>
      </c>
      <c r="C228" s="88"/>
      <c r="D228" s="74"/>
      <c r="E228" s="74"/>
      <c r="F228" s="84" t="str">
        <f t="shared" si="3"/>
        <v/>
      </c>
      <c r="G228" s="89" t="str">
        <f>IF(F228="","",VLOOKUP($C228,CadSet!$C$7:$E$26,2,FALSE))</f>
        <v/>
      </c>
      <c r="H228" s="90" t="str">
        <f>IF(G228="","",VLOOKUP($C228,CadSet!$C$7:$E$26,3,FALSE))</f>
        <v/>
      </c>
      <c r="I228" s="91" t="str">
        <f>IF(F228="","",COUNTIFS(tbLancamentos[Equipamento],F228,tbLancamentos[Momento da falha],"&gt;="&amp;Res!$C$9,tbLancamentos[Momento da falha],"&lt;"&amp;Res!$O$9)+K228)</f>
        <v/>
      </c>
      <c r="J228" s="83" t="str">
        <f>IF(F228="","",SUMIFS(tbLancamentos[Tempo indisponível],tbLancamentos[Equipamento],F228,tbLancamentos[Momento da falha],"&gt;="&amp;Res!$C$9,tbLancamentos[Momento da falha],"&lt;"&amp;Res!$O$9)+K228)</f>
        <v/>
      </c>
      <c r="K228" s="79">
        <v>9.7789999999998195E-5</v>
      </c>
      <c r="L228" s="71" t="str">
        <f>IF(F228="","",IFERROR(COUNTIFS(tbLancamentos[Equipamento],F228,tbLancamentos[Momento da falha],"&gt;"&amp;0,tbLancamentos[Momento do retorno],""),0))</f>
        <v/>
      </c>
    </row>
    <row r="229" spans="2:12" ht="20.100000000000001" customHeight="1" x14ac:dyDescent="0.25">
      <c r="B229" s="87">
        <v>223</v>
      </c>
      <c r="C229" s="88"/>
      <c r="D229" s="74"/>
      <c r="E229" s="74"/>
      <c r="F229" s="84" t="str">
        <f t="shared" si="3"/>
        <v/>
      </c>
      <c r="G229" s="89" t="str">
        <f>IF(F229="","",VLOOKUP($C229,CadSet!$C$7:$E$26,2,FALSE))</f>
        <v/>
      </c>
      <c r="H229" s="90" t="str">
        <f>IF(G229="","",VLOOKUP($C229,CadSet!$C$7:$E$26,3,FALSE))</f>
        <v/>
      </c>
      <c r="I229" s="91" t="str">
        <f>IF(F229="","",COUNTIFS(tbLancamentos[Equipamento],F229,tbLancamentos[Momento da falha],"&gt;="&amp;Res!$C$9,tbLancamentos[Momento da falha],"&lt;"&amp;Res!$O$9)+K229)</f>
        <v/>
      </c>
      <c r="J229" s="83" t="str">
        <f>IF(F229="","",SUMIFS(tbLancamentos[Tempo indisponível],tbLancamentos[Equipamento],F229,tbLancamentos[Momento da falha],"&gt;="&amp;Res!$C$9,tbLancamentos[Momento da falha],"&lt;"&amp;Res!$O$9)+K229)</f>
        <v/>
      </c>
      <c r="K229" s="79">
        <v>9.7779999999998105E-5</v>
      </c>
      <c r="L229" s="71" t="str">
        <f>IF(F229="","",IFERROR(COUNTIFS(tbLancamentos[Equipamento],F229,tbLancamentos[Momento da falha],"&gt;"&amp;0,tbLancamentos[Momento do retorno],""),0))</f>
        <v/>
      </c>
    </row>
    <row r="230" spans="2:12" ht="20.100000000000001" customHeight="1" x14ac:dyDescent="0.25">
      <c r="B230" s="87">
        <v>224</v>
      </c>
      <c r="C230" s="88"/>
      <c r="D230" s="74"/>
      <c r="E230" s="74"/>
      <c r="F230" s="84" t="str">
        <f t="shared" si="3"/>
        <v/>
      </c>
      <c r="G230" s="89" t="str">
        <f>IF(F230="","",VLOOKUP($C230,CadSet!$C$7:$E$26,2,FALSE))</f>
        <v/>
      </c>
      <c r="H230" s="90" t="str">
        <f>IF(G230="","",VLOOKUP($C230,CadSet!$C$7:$E$26,3,FALSE))</f>
        <v/>
      </c>
      <c r="I230" s="91" t="str">
        <f>IF(F230="","",COUNTIFS(tbLancamentos[Equipamento],F230,tbLancamentos[Momento da falha],"&gt;="&amp;Res!$C$9,tbLancamentos[Momento da falha],"&lt;"&amp;Res!$O$9)+K230)</f>
        <v/>
      </c>
      <c r="J230" s="83" t="str">
        <f>IF(F230="","",SUMIFS(tbLancamentos[Tempo indisponível],tbLancamentos[Equipamento],F230,tbLancamentos[Momento da falha],"&gt;="&amp;Res!$C$9,tbLancamentos[Momento da falha],"&lt;"&amp;Res!$O$9)+K230)</f>
        <v/>
      </c>
      <c r="K230" s="79">
        <v>9.7769999999998097E-5</v>
      </c>
      <c r="L230" s="71" t="str">
        <f>IF(F230="","",IFERROR(COUNTIFS(tbLancamentos[Equipamento],F230,tbLancamentos[Momento da falha],"&gt;"&amp;0,tbLancamentos[Momento do retorno],""),0))</f>
        <v/>
      </c>
    </row>
    <row r="231" spans="2:12" ht="20.100000000000001" customHeight="1" x14ac:dyDescent="0.25">
      <c r="B231" s="87">
        <v>225</v>
      </c>
      <c r="C231" s="88"/>
      <c r="D231" s="74"/>
      <c r="E231" s="74"/>
      <c r="F231" s="84" t="str">
        <f t="shared" si="3"/>
        <v/>
      </c>
      <c r="G231" s="89" t="str">
        <f>IF(F231="","",VLOOKUP($C231,CadSet!$C$7:$E$26,2,FALSE))</f>
        <v/>
      </c>
      <c r="H231" s="90" t="str">
        <f>IF(G231="","",VLOOKUP($C231,CadSet!$C$7:$E$26,3,FALSE))</f>
        <v/>
      </c>
      <c r="I231" s="91" t="str">
        <f>IF(F231="","",COUNTIFS(tbLancamentos[Equipamento],F231,tbLancamentos[Momento da falha],"&gt;="&amp;Res!$C$9,tbLancamentos[Momento da falha],"&lt;"&amp;Res!$O$9)+K231)</f>
        <v/>
      </c>
      <c r="J231" s="83" t="str">
        <f>IF(F231="","",SUMIFS(tbLancamentos[Tempo indisponível],tbLancamentos[Equipamento],F231,tbLancamentos[Momento da falha],"&gt;="&amp;Res!$C$9,tbLancamentos[Momento da falha],"&lt;"&amp;Res!$O$9)+K231)</f>
        <v/>
      </c>
      <c r="K231" s="79">
        <v>9.7759999999998102E-5</v>
      </c>
      <c r="L231" s="71" t="str">
        <f>IF(F231="","",IFERROR(COUNTIFS(tbLancamentos[Equipamento],F231,tbLancamentos[Momento da falha],"&gt;"&amp;0,tbLancamentos[Momento do retorno],""),0))</f>
        <v/>
      </c>
    </row>
    <row r="232" spans="2:12" ht="20.100000000000001" customHeight="1" x14ac:dyDescent="0.25">
      <c r="B232" s="87">
        <v>226</v>
      </c>
      <c r="C232" s="88"/>
      <c r="D232" s="74"/>
      <c r="E232" s="74"/>
      <c r="F232" s="84" t="str">
        <f t="shared" si="3"/>
        <v/>
      </c>
      <c r="G232" s="89" t="str">
        <f>IF(F232="","",VLOOKUP($C232,CadSet!$C$7:$E$26,2,FALSE))</f>
        <v/>
      </c>
      <c r="H232" s="90" t="str">
        <f>IF(G232="","",VLOOKUP($C232,CadSet!$C$7:$E$26,3,FALSE))</f>
        <v/>
      </c>
      <c r="I232" s="91" t="str">
        <f>IF(F232="","",COUNTIFS(tbLancamentos[Equipamento],F232,tbLancamentos[Momento da falha],"&gt;="&amp;Res!$C$9,tbLancamentos[Momento da falha],"&lt;"&amp;Res!$O$9)+K232)</f>
        <v/>
      </c>
      <c r="J232" s="83" t="str">
        <f>IF(F232="","",SUMIFS(tbLancamentos[Tempo indisponível],tbLancamentos[Equipamento],F232,tbLancamentos[Momento da falha],"&gt;="&amp;Res!$C$9,tbLancamentos[Momento da falha],"&lt;"&amp;Res!$O$9)+K232)</f>
        <v/>
      </c>
      <c r="K232" s="79">
        <v>9.7749999999998093E-5</v>
      </c>
      <c r="L232" s="71" t="str">
        <f>IF(F232="","",IFERROR(COUNTIFS(tbLancamentos[Equipamento],F232,tbLancamentos[Momento da falha],"&gt;"&amp;0,tbLancamentos[Momento do retorno],""),0))</f>
        <v/>
      </c>
    </row>
    <row r="233" spans="2:12" ht="20.100000000000001" customHeight="1" x14ac:dyDescent="0.25">
      <c r="B233" s="87">
        <v>227</v>
      </c>
      <c r="C233" s="88"/>
      <c r="D233" s="74"/>
      <c r="E233" s="74"/>
      <c r="F233" s="84" t="str">
        <f t="shared" si="3"/>
        <v/>
      </c>
      <c r="G233" s="89" t="str">
        <f>IF(F233="","",VLOOKUP($C233,CadSet!$C$7:$E$26,2,FALSE))</f>
        <v/>
      </c>
      <c r="H233" s="90" t="str">
        <f>IF(G233="","",VLOOKUP($C233,CadSet!$C$7:$E$26,3,FALSE))</f>
        <v/>
      </c>
      <c r="I233" s="91" t="str">
        <f>IF(F233="","",COUNTIFS(tbLancamentos[Equipamento],F233,tbLancamentos[Momento da falha],"&gt;="&amp;Res!$C$9,tbLancamentos[Momento da falha],"&lt;"&amp;Res!$O$9)+K233)</f>
        <v/>
      </c>
      <c r="J233" s="83" t="str">
        <f>IF(F233="","",SUMIFS(tbLancamentos[Tempo indisponível],tbLancamentos[Equipamento],F233,tbLancamentos[Momento da falha],"&gt;="&amp;Res!$C$9,tbLancamentos[Momento da falha],"&lt;"&amp;Res!$O$9)+K233)</f>
        <v/>
      </c>
      <c r="K233" s="79">
        <v>9.7739999999998099E-5</v>
      </c>
      <c r="L233" s="71" t="str">
        <f>IF(F233="","",IFERROR(COUNTIFS(tbLancamentos[Equipamento],F233,tbLancamentos[Momento da falha],"&gt;"&amp;0,tbLancamentos[Momento do retorno],""),0))</f>
        <v/>
      </c>
    </row>
    <row r="234" spans="2:12" ht="20.100000000000001" customHeight="1" x14ac:dyDescent="0.25">
      <c r="B234" s="87">
        <v>228</v>
      </c>
      <c r="C234" s="88"/>
      <c r="D234" s="74"/>
      <c r="E234" s="74"/>
      <c r="F234" s="84" t="str">
        <f t="shared" si="3"/>
        <v/>
      </c>
      <c r="G234" s="89" t="str">
        <f>IF(F234="","",VLOOKUP($C234,CadSet!$C$7:$E$26,2,FALSE))</f>
        <v/>
      </c>
      <c r="H234" s="90" t="str">
        <f>IF(G234="","",VLOOKUP($C234,CadSet!$C$7:$E$26,3,FALSE))</f>
        <v/>
      </c>
      <c r="I234" s="91" t="str">
        <f>IF(F234="","",COUNTIFS(tbLancamentos[Equipamento],F234,tbLancamentos[Momento da falha],"&gt;="&amp;Res!$C$9,tbLancamentos[Momento da falha],"&lt;"&amp;Res!$O$9)+K234)</f>
        <v/>
      </c>
      <c r="J234" s="83" t="str">
        <f>IF(F234="","",SUMIFS(tbLancamentos[Tempo indisponível],tbLancamentos[Equipamento],F234,tbLancamentos[Momento da falha],"&gt;="&amp;Res!$C$9,tbLancamentos[Momento da falha],"&lt;"&amp;Res!$O$9)+K234)</f>
        <v/>
      </c>
      <c r="K234" s="79">
        <v>9.7729999999998104E-5</v>
      </c>
      <c r="L234" s="71" t="str">
        <f>IF(F234="","",IFERROR(COUNTIFS(tbLancamentos[Equipamento],F234,tbLancamentos[Momento da falha],"&gt;"&amp;0,tbLancamentos[Momento do retorno],""),0))</f>
        <v/>
      </c>
    </row>
    <row r="235" spans="2:12" ht="20.100000000000001" customHeight="1" x14ac:dyDescent="0.25">
      <c r="B235" s="87">
        <v>229</v>
      </c>
      <c r="C235" s="88"/>
      <c r="D235" s="74"/>
      <c r="E235" s="74"/>
      <c r="F235" s="84" t="str">
        <f t="shared" si="3"/>
        <v/>
      </c>
      <c r="G235" s="89" t="str">
        <f>IF(F235="","",VLOOKUP($C235,CadSet!$C$7:$E$26,2,FALSE))</f>
        <v/>
      </c>
      <c r="H235" s="90" t="str">
        <f>IF(G235="","",VLOOKUP($C235,CadSet!$C$7:$E$26,3,FALSE))</f>
        <v/>
      </c>
      <c r="I235" s="91" t="str">
        <f>IF(F235="","",COUNTIFS(tbLancamentos[Equipamento],F235,tbLancamentos[Momento da falha],"&gt;="&amp;Res!$C$9,tbLancamentos[Momento da falha],"&lt;"&amp;Res!$O$9)+K235)</f>
        <v/>
      </c>
      <c r="J235" s="83" t="str">
        <f>IF(F235="","",SUMIFS(tbLancamentos[Tempo indisponível],tbLancamentos[Equipamento],F235,tbLancamentos[Momento da falha],"&gt;="&amp;Res!$C$9,tbLancamentos[Momento da falha],"&lt;"&amp;Res!$O$9)+K235)</f>
        <v/>
      </c>
      <c r="K235" s="79">
        <v>9.7719999999998095E-5</v>
      </c>
      <c r="L235" s="71" t="str">
        <f>IF(F235="","",IFERROR(COUNTIFS(tbLancamentos[Equipamento],F235,tbLancamentos[Momento da falha],"&gt;"&amp;0,tbLancamentos[Momento do retorno],""),0))</f>
        <v/>
      </c>
    </row>
    <row r="236" spans="2:12" ht="20.100000000000001" customHeight="1" x14ac:dyDescent="0.25">
      <c r="B236" s="87">
        <v>230</v>
      </c>
      <c r="C236" s="88"/>
      <c r="D236" s="74"/>
      <c r="E236" s="74"/>
      <c r="F236" s="84" t="str">
        <f t="shared" si="3"/>
        <v/>
      </c>
      <c r="G236" s="89" t="str">
        <f>IF(F236="","",VLOOKUP($C236,CadSet!$C$7:$E$26,2,FALSE))</f>
        <v/>
      </c>
      <c r="H236" s="90" t="str">
        <f>IF(G236="","",VLOOKUP($C236,CadSet!$C$7:$E$26,3,FALSE))</f>
        <v/>
      </c>
      <c r="I236" s="91" t="str">
        <f>IF(F236="","",COUNTIFS(tbLancamentos[Equipamento],F236,tbLancamentos[Momento da falha],"&gt;="&amp;Res!$C$9,tbLancamentos[Momento da falha],"&lt;"&amp;Res!$O$9)+K236)</f>
        <v/>
      </c>
      <c r="J236" s="83" t="str">
        <f>IF(F236="","",SUMIFS(tbLancamentos[Tempo indisponível],tbLancamentos[Equipamento],F236,tbLancamentos[Momento da falha],"&gt;="&amp;Res!$C$9,tbLancamentos[Momento da falha],"&lt;"&amp;Res!$O$9)+K236)</f>
        <v/>
      </c>
      <c r="K236" s="79">
        <v>9.7709999999998101E-5</v>
      </c>
      <c r="L236" s="71" t="str">
        <f>IF(F236="","",IFERROR(COUNTIFS(tbLancamentos[Equipamento],F236,tbLancamentos[Momento da falha],"&gt;"&amp;0,tbLancamentos[Momento do retorno],""),0))</f>
        <v/>
      </c>
    </row>
    <row r="237" spans="2:12" ht="20.100000000000001" customHeight="1" x14ac:dyDescent="0.25">
      <c r="B237" s="87">
        <v>231</v>
      </c>
      <c r="C237" s="88"/>
      <c r="D237" s="74"/>
      <c r="E237" s="74"/>
      <c r="F237" s="84" t="str">
        <f t="shared" si="3"/>
        <v/>
      </c>
      <c r="G237" s="89" t="str">
        <f>IF(F237="","",VLOOKUP($C237,CadSet!$C$7:$E$26,2,FALSE))</f>
        <v/>
      </c>
      <c r="H237" s="90" t="str">
        <f>IF(G237="","",VLOOKUP($C237,CadSet!$C$7:$E$26,3,FALSE))</f>
        <v/>
      </c>
      <c r="I237" s="91" t="str">
        <f>IF(F237="","",COUNTIFS(tbLancamentos[Equipamento],F237,tbLancamentos[Momento da falha],"&gt;="&amp;Res!$C$9,tbLancamentos[Momento da falha],"&lt;"&amp;Res!$O$9)+K237)</f>
        <v/>
      </c>
      <c r="J237" s="83" t="str">
        <f>IF(F237="","",SUMIFS(tbLancamentos[Tempo indisponível],tbLancamentos[Equipamento],F237,tbLancamentos[Momento da falha],"&gt;="&amp;Res!$C$9,tbLancamentos[Momento da falha],"&lt;"&amp;Res!$O$9)+K237)</f>
        <v/>
      </c>
      <c r="K237" s="79">
        <v>9.7699999999998106E-5</v>
      </c>
      <c r="L237" s="71" t="str">
        <f>IF(F237="","",IFERROR(COUNTIFS(tbLancamentos[Equipamento],F237,tbLancamentos[Momento da falha],"&gt;"&amp;0,tbLancamentos[Momento do retorno],""),0))</f>
        <v/>
      </c>
    </row>
    <row r="238" spans="2:12" ht="20.100000000000001" customHeight="1" x14ac:dyDescent="0.25">
      <c r="B238" s="87">
        <v>232</v>
      </c>
      <c r="C238" s="88"/>
      <c r="D238" s="74"/>
      <c r="E238" s="74"/>
      <c r="F238" s="84" t="str">
        <f t="shared" si="3"/>
        <v/>
      </c>
      <c r="G238" s="89" t="str">
        <f>IF(F238="","",VLOOKUP($C238,CadSet!$C$7:$E$26,2,FALSE))</f>
        <v/>
      </c>
      <c r="H238" s="90" t="str">
        <f>IF(G238="","",VLOOKUP($C238,CadSet!$C$7:$E$26,3,FALSE))</f>
        <v/>
      </c>
      <c r="I238" s="91" t="str">
        <f>IF(F238="","",COUNTIFS(tbLancamentos[Equipamento],F238,tbLancamentos[Momento da falha],"&gt;="&amp;Res!$C$9,tbLancamentos[Momento da falha],"&lt;"&amp;Res!$O$9)+K238)</f>
        <v/>
      </c>
      <c r="J238" s="83" t="str">
        <f>IF(F238="","",SUMIFS(tbLancamentos[Tempo indisponível],tbLancamentos[Equipamento],F238,tbLancamentos[Momento da falha],"&gt;="&amp;Res!$C$9,tbLancamentos[Momento da falha],"&lt;"&amp;Res!$O$9)+K238)</f>
        <v/>
      </c>
      <c r="K238" s="79">
        <v>9.7689999999998097E-5</v>
      </c>
      <c r="L238" s="71" t="str">
        <f>IF(F238="","",IFERROR(COUNTIFS(tbLancamentos[Equipamento],F238,tbLancamentos[Momento da falha],"&gt;"&amp;0,tbLancamentos[Momento do retorno],""),0))</f>
        <v/>
      </c>
    </row>
    <row r="239" spans="2:12" ht="20.100000000000001" customHeight="1" x14ac:dyDescent="0.25">
      <c r="B239" s="87">
        <v>233</v>
      </c>
      <c r="C239" s="88"/>
      <c r="D239" s="74"/>
      <c r="E239" s="74"/>
      <c r="F239" s="84" t="str">
        <f t="shared" si="3"/>
        <v/>
      </c>
      <c r="G239" s="89" t="str">
        <f>IF(F239="","",VLOOKUP($C239,CadSet!$C$7:$E$26,2,FALSE))</f>
        <v/>
      </c>
      <c r="H239" s="90" t="str">
        <f>IF(G239="","",VLOOKUP($C239,CadSet!$C$7:$E$26,3,FALSE))</f>
        <v/>
      </c>
      <c r="I239" s="91" t="str">
        <f>IF(F239="","",COUNTIFS(tbLancamentos[Equipamento],F239,tbLancamentos[Momento da falha],"&gt;="&amp;Res!$C$9,tbLancamentos[Momento da falha],"&lt;"&amp;Res!$O$9)+K239)</f>
        <v/>
      </c>
      <c r="J239" s="83" t="str">
        <f>IF(F239="","",SUMIFS(tbLancamentos[Tempo indisponível],tbLancamentos[Equipamento],F239,tbLancamentos[Momento da falha],"&gt;="&amp;Res!$C$9,tbLancamentos[Momento da falha],"&lt;"&amp;Res!$O$9)+K239)</f>
        <v/>
      </c>
      <c r="K239" s="79">
        <v>9.7679999999998103E-5</v>
      </c>
      <c r="L239" s="71" t="str">
        <f>IF(F239="","",IFERROR(COUNTIFS(tbLancamentos[Equipamento],F239,tbLancamentos[Momento da falha],"&gt;"&amp;0,tbLancamentos[Momento do retorno],""),0))</f>
        <v/>
      </c>
    </row>
    <row r="240" spans="2:12" ht="20.100000000000001" customHeight="1" x14ac:dyDescent="0.25">
      <c r="B240" s="87">
        <v>234</v>
      </c>
      <c r="C240" s="88"/>
      <c r="D240" s="74"/>
      <c r="E240" s="74"/>
      <c r="F240" s="84" t="str">
        <f t="shared" si="3"/>
        <v/>
      </c>
      <c r="G240" s="89" t="str">
        <f>IF(F240="","",VLOOKUP($C240,CadSet!$C$7:$E$26,2,FALSE))</f>
        <v/>
      </c>
      <c r="H240" s="90" t="str">
        <f>IF(G240="","",VLOOKUP($C240,CadSet!$C$7:$E$26,3,FALSE))</f>
        <v/>
      </c>
      <c r="I240" s="91" t="str">
        <f>IF(F240="","",COUNTIFS(tbLancamentos[Equipamento],F240,tbLancamentos[Momento da falha],"&gt;="&amp;Res!$C$9,tbLancamentos[Momento da falha],"&lt;"&amp;Res!$O$9)+K240)</f>
        <v/>
      </c>
      <c r="J240" s="83" t="str">
        <f>IF(F240="","",SUMIFS(tbLancamentos[Tempo indisponível],tbLancamentos[Equipamento],F240,tbLancamentos[Momento da falha],"&gt;="&amp;Res!$C$9,tbLancamentos[Momento da falha],"&lt;"&amp;Res!$O$9)+K240)</f>
        <v/>
      </c>
      <c r="K240" s="79">
        <v>9.7669999999998094E-5</v>
      </c>
      <c r="L240" s="71" t="str">
        <f>IF(F240="","",IFERROR(COUNTIFS(tbLancamentos[Equipamento],F240,tbLancamentos[Momento da falha],"&gt;"&amp;0,tbLancamentos[Momento do retorno],""),0))</f>
        <v/>
      </c>
    </row>
    <row r="241" spans="2:12" ht="20.100000000000001" customHeight="1" x14ac:dyDescent="0.25">
      <c r="B241" s="87">
        <v>235</v>
      </c>
      <c r="C241" s="88"/>
      <c r="D241" s="74"/>
      <c r="E241" s="74"/>
      <c r="F241" s="84" t="str">
        <f t="shared" si="3"/>
        <v/>
      </c>
      <c r="G241" s="89" t="str">
        <f>IF(F241="","",VLOOKUP($C241,CadSet!$C$7:$E$26,2,FALSE))</f>
        <v/>
      </c>
      <c r="H241" s="90" t="str">
        <f>IF(G241="","",VLOOKUP($C241,CadSet!$C$7:$E$26,3,FALSE))</f>
        <v/>
      </c>
      <c r="I241" s="91" t="str">
        <f>IF(F241="","",COUNTIFS(tbLancamentos[Equipamento],F241,tbLancamentos[Momento da falha],"&gt;="&amp;Res!$C$9,tbLancamentos[Momento da falha],"&lt;"&amp;Res!$O$9)+K241)</f>
        <v/>
      </c>
      <c r="J241" s="83" t="str">
        <f>IF(F241="","",SUMIFS(tbLancamentos[Tempo indisponível],tbLancamentos[Equipamento],F241,tbLancamentos[Momento da falha],"&gt;="&amp;Res!$C$9,tbLancamentos[Momento da falha],"&lt;"&amp;Res!$O$9)+K241)</f>
        <v/>
      </c>
      <c r="K241" s="79">
        <v>9.7659999999998004E-5</v>
      </c>
      <c r="L241" s="71" t="str">
        <f>IF(F241="","",IFERROR(COUNTIFS(tbLancamentos[Equipamento],F241,tbLancamentos[Momento da falha],"&gt;"&amp;0,tbLancamentos[Momento do retorno],""),0))</f>
        <v/>
      </c>
    </row>
    <row r="242" spans="2:12" ht="20.100000000000001" customHeight="1" x14ac:dyDescent="0.25">
      <c r="B242" s="87">
        <v>236</v>
      </c>
      <c r="C242" s="88"/>
      <c r="D242" s="74"/>
      <c r="E242" s="74"/>
      <c r="F242" s="84" t="str">
        <f t="shared" si="3"/>
        <v/>
      </c>
      <c r="G242" s="89" t="str">
        <f>IF(F242="","",VLOOKUP($C242,CadSet!$C$7:$E$26,2,FALSE))</f>
        <v/>
      </c>
      <c r="H242" s="90" t="str">
        <f>IF(G242="","",VLOOKUP($C242,CadSet!$C$7:$E$26,3,FALSE))</f>
        <v/>
      </c>
      <c r="I242" s="91" t="str">
        <f>IF(F242="","",COUNTIFS(tbLancamentos[Equipamento],F242,tbLancamentos[Momento da falha],"&gt;="&amp;Res!$C$9,tbLancamentos[Momento da falha],"&lt;"&amp;Res!$O$9)+K242)</f>
        <v/>
      </c>
      <c r="J242" s="83" t="str">
        <f>IF(F242="","",SUMIFS(tbLancamentos[Tempo indisponível],tbLancamentos[Equipamento],F242,tbLancamentos[Momento da falha],"&gt;="&amp;Res!$C$9,tbLancamentos[Momento da falha],"&lt;"&amp;Res!$O$9)+K242)</f>
        <v/>
      </c>
      <c r="K242" s="79">
        <v>9.7649999999997996E-5</v>
      </c>
      <c r="L242" s="71" t="str">
        <f>IF(F242="","",IFERROR(COUNTIFS(tbLancamentos[Equipamento],F242,tbLancamentos[Momento da falha],"&gt;"&amp;0,tbLancamentos[Momento do retorno],""),0))</f>
        <v/>
      </c>
    </row>
    <row r="243" spans="2:12" ht="20.100000000000001" customHeight="1" x14ac:dyDescent="0.25">
      <c r="B243" s="87">
        <v>237</v>
      </c>
      <c r="C243" s="88"/>
      <c r="D243" s="74"/>
      <c r="E243" s="74"/>
      <c r="F243" s="84" t="str">
        <f t="shared" si="3"/>
        <v/>
      </c>
      <c r="G243" s="89" t="str">
        <f>IF(F243="","",VLOOKUP($C243,CadSet!$C$7:$E$26,2,FALSE))</f>
        <v/>
      </c>
      <c r="H243" s="90" t="str">
        <f>IF(G243="","",VLOOKUP($C243,CadSet!$C$7:$E$26,3,FALSE))</f>
        <v/>
      </c>
      <c r="I243" s="91" t="str">
        <f>IF(F243="","",COUNTIFS(tbLancamentos[Equipamento],F243,tbLancamentos[Momento da falha],"&gt;="&amp;Res!$C$9,tbLancamentos[Momento da falha],"&lt;"&amp;Res!$O$9)+K243)</f>
        <v/>
      </c>
      <c r="J243" s="83" t="str">
        <f>IF(F243="","",SUMIFS(tbLancamentos[Tempo indisponível],tbLancamentos[Equipamento],F243,tbLancamentos[Momento da falha],"&gt;="&amp;Res!$C$9,tbLancamentos[Momento da falha],"&lt;"&amp;Res!$O$9)+K243)</f>
        <v/>
      </c>
      <c r="K243" s="79">
        <v>9.7639999999998001E-5</v>
      </c>
      <c r="L243" s="71" t="str">
        <f>IF(F243="","",IFERROR(COUNTIFS(tbLancamentos[Equipamento],F243,tbLancamentos[Momento da falha],"&gt;"&amp;0,tbLancamentos[Momento do retorno],""),0))</f>
        <v/>
      </c>
    </row>
    <row r="244" spans="2:12" ht="20.100000000000001" customHeight="1" x14ac:dyDescent="0.25">
      <c r="B244" s="87">
        <v>238</v>
      </c>
      <c r="C244" s="88"/>
      <c r="D244" s="74"/>
      <c r="E244" s="74"/>
      <c r="F244" s="84" t="str">
        <f t="shared" si="3"/>
        <v/>
      </c>
      <c r="G244" s="89" t="str">
        <f>IF(F244="","",VLOOKUP($C244,CadSet!$C$7:$E$26,2,FALSE))</f>
        <v/>
      </c>
      <c r="H244" s="90" t="str">
        <f>IF(G244="","",VLOOKUP($C244,CadSet!$C$7:$E$26,3,FALSE))</f>
        <v/>
      </c>
      <c r="I244" s="91" t="str">
        <f>IF(F244="","",COUNTIFS(tbLancamentos[Equipamento],F244,tbLancamentos[Momento da falha],"&gt;="&amp;Res!$C$9,tbLancamentos[Momento da falha],"&lt;"&amp;Res!$O$9)+K244)</f>
        <v/>
      </c>
      <c r="J244" s="83" t="str">
        <f>IF(F244="","",SUMIFS(tbLancamentos[Tempo indisponível],tbLancamentos[Equipamento],F244,tbLancamentos[Momento da falha],"&gt;="&amp;Res!$C$9,tbLancamentos[Momento da falha],"&lt;"&amp;Res!$O$9)+K244)</f>
        <v/>
      </c>
      <c r="K244" s="79">
        <v>9.7629999999998006E-5</v>
      </c>
      <c r="L244" s="71" t="str">
        <f>IF(F244="","",IFERROR(COUNTIFS(tbLancamentos[Equipamento],F244,tbLancamentos[Momento da falha],"&gt;"&amp;0,tbLancamentos[Momento do retorno],""),0))</f>
        <v/>
      </c>
    </row>
    <row r="245" spans="2:12" ht="20.100000000000001" customHeight="1" x14ac:dyDescent="0.25">
      <c r="B245" s="87">
        <v>239</v>
      </c>
      <c r="C245" s="88"/>
      <c r="D245" s="74"/>
      <c r="E245" s="74"/>
      <c r="F245" s="84" t="str">
        <f t="shared" si="3"/>
        <v/>
      </c>
      <c r="G245" s="89" t="str">
        <f>IF(F245="","",VLOOKUP($C245,CadSet!$C$7:$E$26,2,FALSE))</f>
        <v/>
      </c>
      <c r="H245" s="90" t="str">
        <f>IF(G245="","",VLOOKUP($C245,CadSet!$C$7:$E$26,3,FALSE))</f>
        <v/>
      </c>
      <c r="I245" s="91" t="str">
        <f>IF(F245="","",COUNTIFS(tbLancamentos[Equipamento],F245,tbLancamentos[Momento da falha],"&gt;="&amp;Res!$C$9,tbLancamentos[Momento da falha],"&lt;"&amp;Res!$O$9)+K245)</f>
        <v/>
      </c>
      <c r="J245" s="83" t="str">
        <f>IF(F245="","",SUMIFS(tbLancamentos[Tempo indisponível],tbLancamentos[Equipamento],F245,tbLancamentos[Momento da falha],"&gt;="&amp;Res!$C$9,tbLancamentos[Momento da falha],"&lt;"&amp;Res!$O$9)+K245)</f>
        <v/>
      </c>
      <c r="K245" s="79">
        <v>9.7619999999997998E-5</v>
      </c>
      <c r="L245" s="71" t="str">
        <f>IF(F245="","",IFERROR(COUNTIFS(tbLancamentos[Equipamento],F245,tbLancamentos[Momento da falha],"&gt;"&amp;0,tbLancamentos[Momento do retorno],""),0))</f>
        <v/>
      </c>
    </row>
    <row r="246" spans="2:12" ht="20.100000000000001" customHeight="1" x14ac:dyDescent="0.25">
      <c r="B246" s="87">
        <v>240</v>
      </c>
      <c r="C246" s="88"/>
      <c r="D246" s="74"/>
      <c r="E246" s="74"/>
      <c r="F246" s="84" t="str">
        <f t="shared" si="3"/>
        <v/>
      </c>
      <c r="G246" s="89" t="str">
        <f>IF(F246="","",VLOOKUP($C246,CadSet!$C$7:$E$26,2,FALSE))</f>
        <v/>
      </c>
      <c r="H246" s="90" t="str">
        <f>IF(G246="","",VLOOKUP($C246,CadSet!$C$7:$E$26,3,FALSE))</f>
        <v/>
      </c>
      <c r="I246" s="91" t="str">
        <f>IF(F246="","",COUNTIFS(tbLancamentos[Equipamento],F246,tbLancamentos[Momento da falha],"&gt;="&amp;Res!$C$9,tbLancamentos[Momento da falha],"&lt;"&amp;Res!$O$9)+K246)</f>
        <v/>
      </c>
      <c r="J246" s="83" t="str">
        <f>IF(F246="","",SUMIFS(tbLancamentos[Tempo indisponível],tbLancamentos[Equipamento],F246,tbLancamentos[Momento da falha],"&gt;="&amp;Res!$C$9,tbLancamentos[Momento da falha],"&lt;"&amp;Res!$O$9)+K246)</f>
        <v/>
      </c>
      <c r="K246" s="79">
        <v>9.7609999999998003E-5</v>
      </c>
      <c r="L246" s="71" t="str">
        <f>IF(F246="","",IFERROR(COUNTIFS(tbLancamentos[Equipamento],F246,tbLancamentos[Momento da falha],"&gt;"&amp;0,tbLancamentos[Momento do retorno],""),0))</f>
        <v/>
      </c>
    </row>
    <row r="247" spans="2:12" ht="20.100000000000001" customHeight="1" x14ac:dyDescent="0.25">
      <c r="B247" s="87">
        <v>241</v>
      </c>
      <c r="C247" s="88"/>
      <c r="D247" s="74"/>
      <c r="E247" s="74"/>
      <c r="F247" s="84" t="str">
        <f t="shared" si="3"/>
        <v/>
      </c>
      <c r="G247" s="89" t="str">
        <f>IF(F247="","",VLOOKUP($C247,CadSet!$C$7:$E$26,2,FALSE))</f>
        <v/>
      </c>
      <c r="H247" s="90" t="str">
        <f>IF(G247="","",VLOOKUP($C247,CadSet!$C$7:$E$26,3,FALSE))</f>
        <v/>
      </c>
      <c r="I247" s="91" t="str">
        <f>IF(F247="","",COUNTIFS(tbLancamentos[Equipamento],F247,tbLancamentos[Momento da falha],"&gt;="&amp;Res!$C$9,tbLancamentos[Momento da falha],"&lt;"&amp;Res!$O$9)+K247)</f>
        <v/>
      </c>
      <c r="J247" s="83" t="str">
        <f>IF(F247="","",SUMIFS(tbLancamentos[Tempo indisponível],tbLancamentos[Equipamento],F247,tbLancamentos[Momento da falha],"&gt;="&amp;Res!$C$9,tbLancamentos[Momento da falha],"&lt;"&amp;Res!$O$9)+K247)</f>
        <v/>
      </c>
      <c r="K247" s="79">
        <v>9.7599999999997995E-5</v>
      </c>
      <c r="L247" s="71" t="str">
        <f>IF(F247="","",IFERROR(COUNTIFS(tbLancamentos[Equipamento],F247,tbLancamentos[Momento da falha],"&gt;"&amp;0,tbLancamentos[Momento do retorno],""),0))</f>
        <v/>
      </c>
    </row>
    <row r="248" spans="2:12" ht="20.100000000000001" customHeight="1" x14ac:dyDescent="0.25">
      <c r="B248" s="87">
        <v>242</v>
      </c>
      <c r="C248" s="88"/>
      <c r="D248" s="74"/>
      <c r="E248" s="74"/>
      <c r="F248" s="84" t="str">
        <f t="shared" si="3"/>
        <v/>
      </c>
      <c r="G248" s="89" t="str">
        <f>IF(F248="","",VLOOKUP($C248,CadSet!$C$7:$E$26,2,FALSE))</f>
        <v/>
      </c>
      <c r="H248" s="90" t="str">
        <f>IF(G248="","",VLOOKUP($C248,CadSet!$C$7:$E$26,3,FALSE))</f>
        <v/>
      </c>
      <c r="I248" s="91" t="str">
        <f>IF(F248="","",COUNTIFS(tbLancamentos[Equipamento],F248,tbLancamentos[Momento da falha],"&gt;="&amp;Res!$C$9,tbLancamentos[Momento da falha],"&lt;"&amp;Res!$O$9)+K248)</f>
        <v/>
      </c>
      <c r="J248" s="83" t="str">
        <f>IF(F248="","",SUMIFS(tbLancamentos[Tempo indisponível],tbLancamentos[Equipamento],F248,tbLancamentos[Momento da falha],"&gt;="&amp;Res!$C$9,tbLancamentos[Momento da falha],"&lt;"&amp;Res!$O$9)+K248)</f>
        <v/>
      </c>
      <c r="K248" s="79">
        <v>9.7589999999998E-5</v>
      </c>
      <c r="L248" s="71" t="str">
        <f>IF(F248="","",IFERROR(COUNTIFS(tbLancamentos[Equipamento],F248,tbLancamentos[Momento da falha],"&gt;"&amp;0,tbLancamentos[Momento do retorno],""),0))</f>
        <v/>
      </c>
    </row>
    <row r="249" spans="2:12" ht="20.100000000000001" customHeight="1" x14ac:dyDescent="0.25">
      <c r="B249" s="87">
        <v>243</v>
      </c>
      <c r="C249" s="88"/>
      <c r="D249" s="74"/>
      <c r="E249" s="74"/>
      <c r="F249" s="84" t="str">
        <f t="shared" si="3"/>
        <v/>
      </c>
      <c r="G249" s="89" t="str">
        <f>IF(F249="","",VLOOKUP($C249,CadSet!$C$7:$E$26,2,FALSE))</f>
        <v/>
      </c>
      <c r="H249" s="90" t="str">
        <f>IF(G249="","",VLOOKUP($C249,CadSet!$C$7:$E$26,3,FALSE))</f>
        <v/>
      </c>
      <c r="I249" s="91" t="str">
        <f>IF(F249="","",COUNTIFS(tbLancamentos[Equipamento],F249,tbLancamentos[Momento da falha],"&gt;="&amp;Res!$C$9,tbLancamentos[Momento da falha],"&lt;"&amp;Res!$O$9)+K249)</f>
        <v/>
      </c>
      <c r="J249" s="83" t="str">
        <f>IF(F249="","",SUMIFS(tbLancamentos[Tempo indisponível],tbLancamentos[Equipamento],F249,tbLancamentos[Momento da falha],"&gt;="&amp;Res!$C$9,tbLancamentos[Momento da falha],"&lt;"&amp;Res!$O$9)+K249)</f>
        <v/>
      </c>
      <c r="K249" s="79">
        <v>9.7579999999998005E-5</v>
      </c>
      <c r="L249" s="71" t="str">
        <f>IF(F249="","",IFERROR(COUNTIFS(tbLancamentos[Equipamento],F249,tbLancamentos[Momento da falha],"&gt;"&amp;0,tbLancamentos[Momento do retorno],""),0))</f>
        <v/>
      </c>
    </row>
    <row r="250" spans="2:12" ht="20.100000000000001" customHeight="1" x14ac:dyDescent="0.25">
      <c r="B250" s="87">
        <v>244</v>
      </c>
      <c r="C250" s="88"/>
      <c r="D250" s="74"/>
      <c r="E250" s="74"/>
      <c r="F250" s="84" t="str">
        <f t="shared" si="3"/>
        <v/>
      </c>
      <c r="G250" s="89" t="str">
        <f>IF(F250="","",VLOOKUP($C250,CadSet!$C$7:$E$26,2,FALSE))</f>
        <v/>
      </c>
      <c r="H250" s="90" t="str">
        <f>IF(G250="","",VLOOKUP($C250,CadSet!$C$7:$E$26,3,FALSE))</f>
        <v/>
      </c>
      <c r="I250" s="91" t="str">
        <f>IF(F250="","",COUNTIFS(tbLancamentos[Equipamento],F250,tbLancamentos[Momento da falha],"&gt;="&amp;Res!$C$9,tbLancamentos[Momento da falha],"&lt;"&amp;Res!$O$9)+K250)</f>
        <v/>
      </c>
      <c r="J250" s="83" t="str">
        <f>IF(F250="","",SUMIFS(tbLancamentos[Tempo indisponível],tbLancamentos[Equipamento],F250,tbLancamentos[Momento da falha],"&gt;="&amp;Res!$C$9,tbLancamentos[Momento da falha],"&lt;"&amp;Res!$O$9)+K250)</f>
        <v/>
      </c>
      <c r="K250" s="79">
        <v>9.7569999999997997E-5</v>
      </c>
      <c r="L250" s="71" t="str">
        <f>IF(F250="","",IFERROR(COUNTIFS(tbLancamentos[Equipamento],F250,tbLancamentos[Momento da falha],"&gt;"&amp;0,tbLancamentos[Momento do retorno],""),0))</f>
        <v/>
      </c>
    </row>
    <row r="251" spans="2:12" ht="20.100000000000001" customHeight="1" x14ac:dyDescent="0.25">
      <c r="B251" s="87">
        <v>245</v>
      </c>
      <c r="C251" s="88"/>
      <c r="D251" s="74"/>
      <c r="E251" s="74"/>
      <c r="F251" s="84" t="str">
        <f t="shared" si="3"/>
        <v/>
      </c>
      <c r="G251" s="89" t="str">
        <f>IF(F251="","",VLOOKUP($C251,CadSet!$C$7:$E$26,2,FALSE))</f>
        <v/>
      </c>
      <c r="H251" s="90" t="str">
        <f>IF(G251="","",VLOOKUP($C251,CadSet!$C$7:$E$26,3,FALSE))</f>
        <v/>
      </c>
      <c r="I251" s="91" t="str">
        <f>IF(F251="","",COUNTIFS(tbLancamentos[Equipamento],F251,tbLancamentos[Momento da falha],"&gt;="&amp;Res!$C$9,tbLancamentos[Momento da falha],"&lt;"&amp;Res!$O$9)+K251)</f>
        <v/>
      </c>
      <c r="J251" s="83" t="str">
        <f>IF(F251="","",SUMIFS(tbLancamentos[Tempo indisponível],tbLancamentos[Equipamento],F251,tbLancamentos[Momento da falha],"&gt;="&amp;Res!$C$9,tbLancamentos[Momento da falha],"&lt;"&amp;Res!$O$9)+K251)</f>
        <v/>
      </c>
      <c r="K251" s="79">
        <v>9.7559999999998002E-5</v>
      </c>
      <c r="L251" s="71" t="str">
        <f>IF(F251="","",IFERROR(COUNTIFS(tbLancamentos[Equipamento],F251,tbLancamentos[Momento da falha],"&gt;"&amp;0,tbLancamentos[Momento do retorno],""),0))</f>
        <v/>
      </c>
    </row>
    <row r="252" spans="2:12" ht="20.100000000000001" customHeight="1" x14ac:dyDescent="0.25">
      <c r="B252" s="87">
        <v>246</v>
      </c>
      <c r="C252" s="88"/>
      <c r="D252" s="74"/>
      <c r="E252" s="74"/>
      <c r="F252" s="84" t="str">
        <f t="shared" si="3"/>
        <v/>
      </c>
      <c r="G252" s="89" t="str">
        <f>IF(F252="","",VLOOKUP($C252,CadSet!$C$7:$E$26,2,FALSE))</f>
        <v/>
      </c>
      <c r="H252" s="90" t="str">
        <f>IF(G252="","",VLOOKUP($C252,CadSet!$C$7:$E$26,3,FALSE))</f>
        <v/>
      </c>
      <c r="I252" s="91" t="str">
        <f>IF(F252="","",COUNTIFS(tbLancamentos[Equipamento],F252,tbLancamentos[Momento da falha],"&gt;="&amp;Res!$C$9,tbLancamentos[Momento da falha],"&lt;"&amp;Res!$O$9)+K252)</f>
        <v/>
      </c>
      <c r="J252" s="83" t="str">
        <f>IF(F252="","",SUMIFS(tbLancamentos[Tempo indisponível],tbLancamentos[Equipamento],F252,tbLancamentos[Momento da falha],"&gt;="&amp;Res!$C$9,tbLancamentos[Momento da falha],"&lt;"&amp;Res!$O$9)+K252)</f>
        <v/>
      </c>
      <c r="K252" s="79">
        <v>9.7549999999997994E-5</v>
      </c>
      <c r="L252" s="71" t="str">
        <f>IF(F252="","",IFERROR(COUNTIFS(tbLancamentos[Equipamento],F252,tbLancamentos[Momento da falha],"&gt;"&amp;0,tbLancamentos[Momento do retorno],""),0))</f>
        <v/>
      </c>
    </row>
    <row r="253" spans="2:12" ht="20.100000000000001" customHeight="1" x14ac:dyDescent="0.25">
      <c r="B253" s="87">
        <v>247</v>
      </c>
      <c r="C253" s="88"/>
      <c r="D253" s="74"/>
      <c r="E253" s="74"/>
      <c r="F253" s="84" t="str">
        <f t="shared" si="3"/>
        <v/>
      </c>
      <c r="G253" s="89" t="str">
        <f>IF(F253="","",VLOOKUP($C253,CadSet!$C$7:$E$26,2,FALSE))</f>
        <v/>
      </c>
      <c r="H253" s="90" t="str">
        <f>IF(G253="","",VLOOKUP($C253,CadSet!$C$7:$E$26,3,FALSE))</f>
        <v/>
      </c>
      <c r="I253" s="91" t="str">
        <f>IF(F253="","",COUNTIFS(tbLancamentos[Equipamento],F253,tbLancamentos[Momento da falha],"&gt;="&amp;Res!$C$9,tbLancamentos[Momento da falha],"&lt;"&amp;Res!$O$9)+K253)</f>
        <v/>
      </c>
      <c r="J253" s="83" t="str">
        <f>IF(F253="","",SUMIFS(tbLancamentos[Tempo indisponível],tbLancamentos[Equipamento],F253,tbLancamentos[Momento da falha],"&gt;="&amp;Res!$C$9,tbLancamentos[Momento da falha],"&lt;"&amp;Res!$O$9)+K253)</f>
        <v/>
      </c>
      <c r="K253" s="79">
        <v>9.7539999999997904E-5</v>
      </c>
      <c r="L253" s="71" t="str">
        <f>IF(F253="","",IFERROR(COUNTIFS(tbLancamentos[Equipamento],F253,tbLancamentos[Momento da falha],"&gt;"&amp;0,tbLancamentos[Momento do retorno],""),0))</f>
        <v/>
      </c>
    </row>
    <row r="254" spans="2:12" ht="20.100000000000001" customHeight="1" x14ac:dyDescent="0.25">
      <c r="B254" s="87">
        <v>248</v>
      </c>
      <c r="C254" s="88"/>
      <c r="D254" s="74"/>
      <c r="E254" s="74"/>
      <c r="F254" s="84" t="str">
        <f t="shared" si="3"/>
        <v/>
      </c>
      <c r="G254" s="89" t="str">
        <f>IF(F254="","",VLOOKUP($C254,CadSet!$C$7:$E$26,2,FALSE))</f>
        <v/>
      </c>
      <c r="H254" s="90" t="str">
        <f>IF(G254="","",VLOOKUP($C254,CadSet!$C$7:$E$26,3,FALSE))</f>
        <v/>
      </c>
      <c r="I254" s="91" t="str">
        <f>IF(F254="","",COUNTIFS(tbLancamentos[Equipamento],F254,tbLancamentos[Momento da falha],"&gt;="&amp;Res!$C$9,tbLancamentos[Momento da falha],"&lt;"&amp;Res!$O$9)+K254)</f>
        <v/>
      </c>
      <c r="J254" s="83" t="str">
        <f>IF(F254="","",SUMIFS(tbLancamentos[Tempo indisponível],tbLancamentos[Equipamento],F254,tbLancamentos[Momento da falha],"&gt;="&amp;Res!$C$9,tbLancamentos[Momento da falha],"&lt;"&amp;Res!$O$9)+K254)</f>
        <v/>
      </c>
      <c r="K254" s="79">
        <v>9.7529999999997896E-5</v>
      </c>
      <c r="L254" s="71" t="str">
        <f>IF(F254="","",IFERROR(COUNTIFS(tbLancamentos[Equipamento],F254,tbLancamentos[Momento da falha],"&gt;"&amp;0,tbLancamentos[Momento do retorno],""),0))</f>
        <v/>
      </c>
    </row>
    <row r="255" spans="2:12" ht="20.100000000000001" customHeight="1" x14ac:dyDescent="0.25">
      <c r="B255" s="87">
        <v>249</v>
      </c>
      <c r="C255" s="88"/>
      <c r="D255" s="74"/>
      <c r="E255" s="74"/>
      <c r="F255" s="84" t="str">
        <f t="shared" si="3"/>
        <v/>
      </c>
      <c r="G255" s="89" t="str">
        <f>IF(F255="","",VLOOKUP($C255,CadSet!$C$7:$E$26,2,FALSE))</f>
        <v/>
      </c>
      <c r="H255" s="90" t="str">
        <f>IF(G255="","",VLOOKUP($C255,CadSet!$C$7:$E$26,3,FALSE))</f>
        <v/>
      </c>
      <c r="I255" s="91" t="str">
        <f>IF(F255="","",COUNTIFS(tbLancamentos[Equipamento],F255,tbLancamentos[Momento da falha],"&gt;="&amp;Res!$C$9,tbLancamentos[Momento da falha],"&lt;"&amp;Res!$O$9)+K255)</f>
        <v/>
      </c>
      <c r="J255" s="83" t="str">
        <f>IF(F255="","",SUMIFS(tbLancamentos[Tempo indisponível],tbLancamentos[Equipamento],F255,tbLancamentos[Momento da falha],"&gt;="&amp;Res!$C$9,tbLancamentos[Momento da falha],"&lt;"&amp;Res!$O$9)+K255)</f>
        <v/>
      </c>
      <c r="K255" s="79">
        <v>9.7519999999997901E-5</v>
      </c>
      <c r="L255" s="71" t="str">
        <f>IF(F255="","",IFERROR(COUNTIFS(tbLancamentos[Equipamento],F255,tbLancamentos[Momento da falha],"&gt;"&amp;0,tbLancamentos[Momento do retorno],""),0))</f>
        <v/>
      </c>
    </row>
    <row r="256" spans="2:12" ht="20.100000000000001" customHeight="1" x14ac:dyDescent="0.25">
      <c r="B256" s="87">
        <v>250</v>
      </c>
      <c r="C256" s="88"/>
      <c r="D256" s="74"/>
      <c r="E256" s="74"/>
      <c r="F256" s="84" t="str">
        <f t="shared" si="3"/>
        <v/>
      </c>
      <c r="G256" s="89" t="str">
        <f>IF(F256="","",VLOOKUP($C256,CadSet!$C$7:$E$26,2,FALSE))</f>
        <v/>
      </c>
      <c r="H256" s="90" t="str">
        <f>IF(G256="","",VLOOKUP($C256,CadSet!$C$7:$E$26,3,FALSE))</f>
        <v/>
      </c>
      <c r="I256" s="91" t="str">
        <f>IF(F256="","",COUNTIFS(tbLancamentos[Equipamento],F256,tbLancamentos[Momento da falha],"&gt;="&amp;Res!$C$9,tbLancamentos[Momento da falha],"&lt;"&amp;Res!$O$9)+K256)</f>
        <v/>
      </c>
      <c r="J256" s="83" t="str">
        <f>IF(F256="","",SUMIFS(tbLancamentos[Tempo indisponível],tbLancamentos[Equipamento],F256,tbLancamentos[Momento da falha],"&gt;="&amp;Res!$C$9,tbLancamentos[Momento da falha],"&lt;"&amp;Res!$O$9)+K256)</f>
        <v/>
      </c>
      <c r="K256" s="79">
        <v>9.7509999999997906E-5</v>
      </c>
      <c r="L256" s="71" t="str">
        <f>IF(F256="","",IFERROR(COUNTIFS(tbLancamentos[Equipamento],F256,tbLancamentos[Momento da falha],"&gt;"&amp;0,tbLancamentos[Momento do retorno],""),0))</f>
        <v/>
      </c>
    </row>
    <row r="257" spans="2:12" ht="20.100000000000001" customHeight="1" x14ac:dyDescent="0.25">
      <c r="B257" s="87">
        <v>251</v>
      </c>
      <c r="C257" s="88"/>
      <c r="D257" s="74"/>
      <c r="E257" s="74"/>
      <c r="F257" s="84" t="str">
        <f t="shared" si="3"/>
        <v/>
      </c>
      <c r="G257" s="89" t="str">
        <f>IF(F257="","",VLOOKUP($C257,CadSet!$C$7:$E$26,2,FALSE))</f>
        <v/>
      </c>
      <c r="H257" s="90" t="str">
        <f>IF(G257="","",VLOOKUP($C257,CadSet!$C$7:$E$26,3,FALSE))</f>
        <v/>
      </c>
      <c r="I257" s="91" t="str">
        <f>IF(F257="","",COUNTIFS(tbLancamentos[Equipamento],F257,tbLancamentos[Momento da falha],"&gt;="&amp;Res!$C$9,tbLancamentos[Momento da falha],"&lt;"&amp;Res!$O$9)+K257)</f>
        <v/>
      </c>
      <c r="J257" s="83" t="str">
        <f>IF(F257="","",SUMIFS(tbLancamentos[Tempo indisponível],tbLancamentos[Equipamento],F257,tbLancamentos[Momento da falha],"&gt;="&amp;Res!$C$9,tbLancamentos[Momento da falha],"&lt;"&amp;Res!$O$9)+K257)</f>
        <v/>
      </c>
      <c r="K257" s="79">
        <v>9.7499999999997898E-5</v>
      </c>
      <c r="L257" s="71" t="str">
        <f>IF(F257="","",IFERROR(COUNTIFS(tbLancamentos[Equipamento],F257,tbLancamentos[Momento da falha],"&gt;"&amp;0,tbLancamentos[Momento do retorno],""),0))</f>
        <v/>
      </c>
    </row>
    <row r="258" spans="2:12" ht="20.100000000000001" customHeight="1" x14ac:dyDescent="0.25">
      <c r="B258" s="87">
        <v>252</v>
      </c>
      <c r="C258" s="88"/>
      <c r="D258" s="74"/>
      <c r="E258" s="74"/>
      <c r="F258" s="84" t="str">
        <f t="shared" si="3"/>
        <v/>
      </c>
      <c r="G258" s="89" t="str">
        <f>IF(F258="","",VLOOKUP($C258,CadSet!$C$7:$E$26,2,FALSE))</f>
        <v/>
      </c>
      <c r="H258" s="90" t="str">
        <f>IF(G258="","",VLOOKUP($C258,CadSet!$C$7:$E$26,3,FALSE))</f>
        <v/>
      </c>
      <c r="I258" s="91" t="str">
        <f>IF(F258="","",COUNTIFS(tbLancamentos[Equipamento],F258,tbLancamentos[Momento da falha],"&gt;="&amp;Res!$C$9,tbLancamentos[Momento da falha],"&lt;"&amp;Res!$O$9)+K258)</f>
        <v/>
      </c>
      <c r="J258" s="83" t="str">
        <f>IF(F258="","",SUMIFS(tbLancamentos[Tempo indisponível],tbLancamentos[Equipamento],F258,tbLancamentos[Momento da falha],"&gt;="&amp;Res!$C$9,tbLancamentos[Momento da falha],"&lt;"&amp;Res!$O$9)+K258)</f>
        <v/>
      </c>
      <c r="K258" s="79">
        <v>9.7489999999997903E-5</v>
      </c>
      <c r="L258" s="71" t="str">
        <f>IF(F258="","",IFERROR(COUNTIFS(tbLancamentos[Equipamento],F258,tbLancamentos[Momento da falha],"&gt;"&amp;0,tbLancamentos[Momento do retorno],""),0))</f>
        <v/>
      </c>
    </row>
    <row r="259" spans="2:12" ht="20.100000000000001" customHeight="1" x14ac:dyDescent="0.25">
      <c r="B259" s="87">
        <v>253</v>
      </c>
      <c r="C259" s="88"/>
      <c r="D259" s="74"/>
      <c r="E259" s="74"/>
      <c r="F259" s="84" t="str">
        <f t="shared" si="3"/>
        <v/>
      </c>
      <c r="G259" s="89" t="str">
        <f>IF(F259="","",VLOOKUP($C259,CadSet!$C$7:$E$26,2,FALSE))</f>
        <v/>
      </c>
      <c r="H259" s="90" t="str">
        <f>IF(G259="","",VLOOKUP($C259,CadSet!$C$7:$E$26,3,FALSE))</f>
        <v/>
      </c>
      <c r="I259" s="91" t="str">
        <f>IF(F259="","",COUNTIFS(tbLancamentos[Equipamento],F259,tbLancamentos[Momento da falha],"&gt;="&amp;Res!$C$9,tbLancamentos[Momento da falha],"&lt;"&amp;Res!$O$9)+K259)</f>
        <v/>
      </c>
      <c r="J259" s="83" t="str">
        <f>IF(F259="","",SUMIFS(tbLancamentos[Tempo indisponível],tbLancamentos[Equipamento],F259,tbLancamentos[Momento da falha],"&gt;="&amp;Res!$C$9,tbLancamentos[Momento da falha],"&lt;"&amp;Res!$O$9)+K259)</f>
        <v/>
      </c>
      <c r="K259" s="79">
        <v>9.7479999999997894E-5</v>
      </c>
      <c r="L259" s="71" t="str">
        <f>IF(F259="","",IFERROR(COUNTIFS(tbLancamentos[Equipamento],F259,tbLancamentos[Momento da falha],"&gt;"&amp;0,tbLancamentos[Momento do retorno],""),0))</f>
        <v/>
      </c>
    </row>
    <row r="260" spans="2:12" ht="20.100000000000001" customHeight="1" x14ac:dyDescent="0.25">
      <c r="B260" s="87">
        <v>254</v>
      </c>
      <c r="C260" s="88"/>
      <c r="D260" s="74"/>
      <c r="E260" s="74"/>
      <c r="F260" s="84" t="str">
        <f t="shared" si="3"/>
        <v/>
      </c>
      <c r="G260" s="89" t="str">
        <f>IF(F260="","",VLOOKUP($C260,CadSet!$C$7:$E$26,2,FALSE))</f>
        <v/>
      </c>
      <c r="H260" s="90" t="str">
        <f>IF(G260="","",VLOOKUP($C260,CadSet!$C$7:$E$26,3,FALSE))</f>
        <v/>
      </c>
      <c r="I260" s="91" t="str">
        <f>IF(F260="","",COUNTIFS(tbLancamentos[Equipamento],F260,tbLancamentos[Momento da falha],"&gt;="&amp;Res!$C$9,tbLancamentos[Momento da falha],"&lt;"&amp;Res!$O$9)+K260)</f>
        <v/>
      </c>
      <c r="J260" s="83" t="str">
        <f>IF(F260="","",SUMIFS(tbLancamentos[Tempo indisponível],tbLancamentos[Equipamento],F260,tbLancamentos[Momento da falha],"&gt;="&amp;Res!$C$9,tbLancamentos[Momento da falha],"&lt;"&amp;Res!$O$9)+K260)</f>
        <v/>
      </c>
      <c r="K260" s="79">
        <v>9.74699999999979E-5</v>
      </c>
      <c r="L260" s="71" t="str">
        <f>IF(F260="","",IFERROR(COUNTIFS(tbLancamentos[Equipamento],F260,tbLancamentos[Momento da falha],"&gt;"&amp;0,tbLancamentos[Momento do retorno],""),0))</f>
        <v/>
      </c>
    </row>
    <row r="261" spans="2:12" ht="20.100000000000001" customHeight="1" x14ac:dyDescent="0.25">
      <c r="B261" s="87">
        <v>255</v>
      </c>
      <c r="C261" s="88"/>
      <c r="D261" s="74"/>
      <c r="E261" s="74"/>
      <c r="F261" s="84" t="str">
        <f t="shared" si="3"/>
        <v/>
      </c>
      <c r="G261" s="89" t="str">
        <f>IF(F261="","",VLOOKUP($C261,CadSet!$C$7:$E$26,2,FALSE))</f>
        <v/>
      </c>
      <c r="H261" s="90" t="str">
        <f>IF(G261="","",VLOOKUP($C261,CadSet!$C$7:$E$26,3,FALSE))</f>
        <v/>
      </c>
      <c r="I261" s="91" t="str">
        <f>IF(F261="","",COUNTIFS(tbLancamentos[Equipamento],F261,tbLancamentos[Momento da falha],"&gt;="&amp;Res!$C$9,tbLancamentos[Momento da falha],"&lt;"&amp;Res!$O$9)+K261)</f>
        <v/>
      </c>
      <c r="J261" s="83" t="str">
        <f>IF(F261="","",SUMIFS(tbLancamentos[Tempo indisponível],tbLancamentos[Equipamento],F261,tbLancamentos[Momento da falha],"&gt;="&amp;Res!$C$9,tbLancamentos[Momento da falha],"&lt;"&amp;Res!$O$9)+K261)</f>
        <v/>
      </c>
      <c r="K261" s="79">
        <v>9.7459999999997905E-5</v>
      </c>
      <c r="L261" s="71" t="str">
        <f>IF(F261="","",IFERROR(COUNTIFS(tbLancamentos[Equipamento],F261,tbLancamentos[Momento da falha],"&gt;"&amp;0,tbLancamentos[Momento do retorno],""),0))</f>
        <v/>
      </c>
    </row>
    <row r="262" spans="2:12" ht="20.100000000000001" customHeight="1" x14ac:dyDescent="0.25">
      <c r="B262" s="87">
        <v>256</v>
      </c>
      <c r="C262" s="88"/>
      <c r="D262" s="74"/>
      <c r="E262" s="74"/>
      <c r="F262" s="84" t="str">
        <f t="shared" si="3"/>
        <v/>
      </c>
      <c r="G262" s="89" t="str">
        <f>IF(F262="","",VLOOKUP($C262,CadSet!$C$7:$E$26,2,FALSE))</f>
        <v/>
      </c>
      <c r="H262" s="90" t="str">
        <f>IF(G262="","",VLOOKUP($C262,CadSet!$C$7:$E$26,3,FALSE))</f>
        <v/>
      </c>
      <c r="I262" s="91" t="str">
        <f>IF(F262="","",COUNTIFS(tbLancamentos[Equipamento],F262,tbLancamentos[Momento da falha],"&gt;="&amp;Res!$C$9,tbLancamentos[Momento da falha],"&lt;"&amp;Res!$O$9)+K262)</f>
        <v/>
      </c>
      <c r="J262" s="83" t="str">
        <f>IF(F262="","",SUMIFS(tbLancamentos[Tempo indisponível],tbLancamentos[Equipamento],F262,tbLancamentos[Momento da falha],"&gt;="&amp;Res!$C$9,tbLancamentos[Momento da falha],"&lt;"&amp;Res!$O$9)+K262)</f>
        <v/>
      </c>
      <c r="K262" s="79">
        <v>9.7449999999997896E-5</v>
      </c>
      <c r="L262" s="71" t="str">
        <f>IF(F262="","",IFERROR(COUNTIFS(tbLancamentos[Equipamento],F262,tbLancamentos[Momento da falha],"&gt;"&amp;0,tbLancamentos[Momento do retorno],""),0))</f>
        <v/>
      </c>
    </row>
    <row r="263" spans="2:12" ht="20.100000000000001" customHeight="1" x14ac:dyDescent="0.25">
      <c r="B263" s="87">
        <v>257</v>
      </c>
      <c r="C263" s="88"/>
      <c r="D263" s="74"/>
      <c r="E263" s="74"/>
      <c r="F263" s="84" t="str">
        <f t="shared" si="3"/>
        <v/>
      </c>
      <c r="G263" s="89" t="str">
        <f>IF(F263="","",VLOOKUP($C263,CadSet!$C$7:$E$26,2,FALSE))</f>
        <v/>
      </c>
      <c r="H263" s="90" t="str">
        <f>IF(G263="","",VLOOKUP($C263,CadSet!$C$7:$E$26,3,FALSE))</f>
        <v/>
      </c>
      <c r="I263" s="91" t="str">
        <f>IF(F263="","",COUNTIFS(tbLancamentos[Equipamento],F263,tbLancamentos[Momento da falha],"&gt;="&amp;Res!$C$9,tbLancamentos[Momento da falha],"&lt;"&amp;Res!$O$9)+K263)</f>
        <v/>
      </c>
      <c r="J263" s="83" t="str">
        <f>IF(F263="","",SUMIFS(tbLancamentos[Tempo indisponível],tbLancamentos[Equipamento],F263,tbLancamentos[Momento da falha],"&gt;="&amp;Res!$C$9,tbLancamentos[Momento da falha],"&lt;"&amp;Res!$O$9)+K263)</f>
        <v/>
      </c>
      <c r="K263" s="79">
        <v>9.7439999999997902E-5</v>
      </c>
      <c r="L263" s="71" t="str">
        <f>IF(F263="","",IFERROR(COUNTIFS(tbLancamentos[Equipamento],F263,tbLancamentos[Momento da falha],"&gt;"&amp;0,tbLancamentos[Momento do retorno],""),0))</f>
        <v/>
      </c>
    </row>
    <row r="264" spans="2:12" ht="20.100000000000001" customHeight="1" x14ac:dyDescent="0.25">
      <c r="B264" s="87">
        <v>258</v>
      </c>
      <c r="C264" s="88"/>
      <c r="D264" s="74"/>
      <c r="E264" s="74"/>
      <c r="F264" s="84" t="str">
        <f t="shared" ref="F264:F327" si="4">IF(AND(C264&lt;&gt;"",D264&lt;&gt;""),C264&amp;" - "&amp;D264,"")</f>
        <v/>
      </c>
      <c r="G264" s="89" t="str">
        <f>IF(F264="","",VLOOKUP($C264,CadSet!$C$7:$E$26,2,FALSE))</f>
        <v/>
      </c>
      <c r="H264" s="90" t="str">
        <f>IF(G264="","",VLOOKUP($C264,CadSet!$C$7:$E$26,3,FALSE))</f>
        <v/>
      </c>
      <c r="I264" s="91" t="str">
        <f>IF(F264="","",COUNTIFS(tbLancamentos[Equipamento],F264,tbLancamentos[Momento da falha],"&gt;="&amp;Res!$C$9,tbLancamentos[Momento da falha],"&lt;"&amp;Res!$O$9)+K264)</f>
        <v/>
      </c>
      <c r="J264" s="83" t="str">
        <f>IF(F264="","",SUMIFS(tbLancamentos[Tempo indisponível],tbLancamentos[Equipamento],F264,tbLancamentos[Momento da falha],"&gt;="&amp;Res!$C$9,tbLancamentos[Momento da falha],"&lt;"&amp;Res!$O$9)+K264)</f>
        <v/>
      </c>
      <c r="K264" s="79">
        <v>9.7429999999997907E-5</v>
      </c>
      <c r="L264" s="71" t="str">
        <f>IF(F264="","",IFERROR(COUNTIFS(tbLancamentos[Equipamento],F264,tbLancamentos[Momento da falha],"&gt;"&amp;0,tbLancamentos[Momento do retorno],""),0))</f>
        <v/>
      </c>
    </row>
    <row r="265" spans="2:12" ht="20.100000000000001" customHeight="1" x14ac:dyDescent="0.25">
      <c r="B265" s="87">
        <v>259</v>
      </c>
      <c r="C265" s="88"/>
      <c r="D265" s="74"/>
      <c r="E265" s="74"/>
      <c r="F265" s="84" t="str">
        <f t="shared" si="4"/>
        <v/>
      </c>
      <c r="G265" s="89" t="str">
        <f>IF(F265="","",VLOOKUP($C265,CadSet!$C$7:$E$26,2,FALSE))</f>
        <v/>
      </c>
      <c r="H265" s="90" t="str">
        <f>IF(G265="","",VLOOKUP($C265,CadSet!$C$7:$E$26,3,FALSE))</f>
        <v/>
      </c>
      <c r="I265" s="91" t="str">
        <f>IF(F265="","",COUNTIFS(tbLancamentos[Equipamento],F265,tbLancamentos[Momento da falha],"&gt;="&amp;Res!$C$9,tbLancamentos[Momento da falha],"&lt;"&amp;Res!$O$9)+K265)</f>
        <v/>
      </c>
      <c r="J265" s="83" t="str">
        <f>IF(F265="","",SUMIFS(tbLancamentos[Tempo indisponível],tbLancamentos[Equipamento],F265,tbLancamentos[Momento da falha],"&gt;="&amp;Res!$C$9,tbLancamentos[Momento da falha],"&lt;"&amp;Res!$O$9)+K265)</f>
        <v/>
      </c>
      <c r="K265" s="79">
        <v>9.7419999999997803E-5</v>
      </c>
      <c r="L265" s="71" t="str">
        <f>IF(F265="","",IFERROR(COUNTIFS(tbLancamentos[Equipamento],F265,tbLancamentos[Momento da falha],"&gt;"&amp;0,tbLancamentos[Momento do retorno],""),0))</f>
        <v/>
      </c>
    </row>
    <row r="266" spans="2:12" ht="20.100000000000001" customHeight="1" x14ac:dyDescent="0.25">
      <c r="B266" s="87">
        <v>260</v>
      </c>
      <c r="C266" s="88"/>
      <c r="D266" s="74"/>
      <c r="E266" s="74"/>
      <c r="F266" s="84" t="str">
        <f t="shared" si="4"/>
        <v/>
      </c>
      <c r="G266" s="89" t="str">
        <f>IF(F266="","",VLOOKUP($C266,CadSet!$C$7:$E$26,2,FALSE))</f>
        <v/>
      </c>
      <c r="H266" s="90" t="str">
        <f>IF(G266="","",VLOOKUP($C266,CadSet!$C$7:$E$26,3,FALSE))</f>
        <v/>
      </c>
      <c r="I266" s="91" t="str">
        <f>IF(F266="","",COUNTIFS(tbLancamentos[Equipamento],F266,tbLancamentos[Momento da falha],"&gt;="&amp;Res!$C$9,tbLancamentos[Momento da falha],"&lt;"&amp;Res!$O$9)+K266)</f>
        <v/>
      </c>
      <c r="J266" s="83" t="str">
        <f>IF(F266="","",SUMIFS(tbLancamentos[Tempo indisponível],tbLancamentos[Equipamento],F266,tbLancamentos[Momento da falha],"&gt;="&amp;Res!$C$9,tbLancamentos[Momento da falha],"&lt;"&amp;Res!$O$9)+K266)</f>
        <v/>
      </c>
      <c r="K266" s="79">
        <v>9.7409999999997795E-5</v>
      </c>
      <c r="L266" s="71" t="str">
        <f>IF(F266="","",IFERROR(COUNTIFS(tbLancamentos[Equipamento],F266,tbLancamentos[Momento da falha],"&gt;"&amp;0,tbLancamentos[Momento do retorno],""),0))</f>
        <v/>
      </c>
    </row>
    <row r="267" spans="2:12" ht="20.100000000000001" customHeight="1" x14ac:dyDescent="0.25">
      <c r="B267" s="87">
        <v>261</v>
      </c>
      <c r="C267" s="88"/>
      <c r="D267" s="74"/>
      <c r="E267" s="74"/>
      <c r="F267" s="84" t="str">
        <f t="shared" si="4"/>
        <v/>
      </c>
      <c r="G267" s="89" t="str">
        <f>IF(F267="","",VLOOKUP($C267,CadSet!$C$7:$E$26,2,FALSE))</f>
        <v/>
      </c>
      <c r="H267" s="90" t="str">
        <f>IF(G267="","",VLOOKUP($C267,CadSet!$C$7:$E$26,3,FALSE))</f>
        <v/>
      </c>
      <c r="I267" s="91" t="str">
        <f>IF(F267="","",COUNTIFS(tbLancamentos[Equipamento],F267,tbLancamentos[Momento da falha],"&gt;="&amp;Res!$C$9,tbLancamentos[Momento da falha],"&lt;"&amp;Res!$O$9)+K267)</f>
        <v/>
      </c>
      <c r="J267" s="83" t="str">
        <f>IF(F267="","",SUMIFS(tbLancamentos[Tempo indisponível],tbLancamentos[Equipamento],F267,tbLancamentos[Momento da falha],"&gt;="&amp;Res!$C$9,tbLancamentos[Momento da falha],"&lt;"&amp;Res!$O$9)+K267)</f>
        <v/>
      </c>
      <c r="K267" s="79">
        <v>9.73999999999978E-5</v>
      </c>
      <c r="L267" s="71" t="str">
        <f>IF(F267="","",IFERROR(COUNTIFS(tbLancamentos[Equipamento],F267,tbLancamentos[Momento da falha],"&gt;"&amp;0,tbLancamentos[Momento do retorno],""),0))</f>
        <v/>
      </c>
    </row>
    <row r="268" spans="2:12" ht="20.100000000000001" customHeight="1" x14ac:dyDescent="0.25">
      <c r="B268" s="87">
        <v>262</v>
      </c>
      <c r="C268" s="88"/>
      <c r="D268" s="74"/>
      <c r="E268" s="74"/>
      <c r="F268" s="84" t="str">
        <f t="shared" si="4"/>
        <v/>
      </c>
      <c r="G268" s="89" t="str">
        <f>IF(F268="","",VLOOKUP($C268,CadSet!$C$7:$E$26,2,FALSE))</f>
        <v/>
      </c>
      <c r="H268" s="90" t="str">
        <f>IF(G268="","",VLOOKUP($C268,CadSet!$C$7:$E$26,3,FALSE))</f>
        <v/>
      </c>
      <c r="I268" s="91" t="str">
        <f>IF(F268="","",COUNTIFS(tbLancamentos[Equipamento],F268,tbLancamentos[Momento da falha],"&gt;="&amp;Res!$C$9,tbLancamentos[Momento da falha],"&lt;"&amp;Res!$O$9)+K268)</f>
        <v/>
      </c>
      <c r="J268" s="83" t="str">
        <f>IF(F268="","",SUMIFS(tbLancamentos[Tempo indisponível],tbLancamentos[Equipamento],F268,tbLancamentos[Momento da falha],"&gt;="&amp;Res!$C$9,tbLancamentos[Momento da falha],"&lt;"&amp;Res!$O$9)+K268)</f>
        <v/>
      </c>
      <c r="K268" s="79">
        <v>9.7389999999997805E-5</v>
      </c>
      <c r="L268" s="71" t="str">
        <f>IF(F268="","",IFERROR(COUNTIFS(tbLancamentos[Equipamento],F268,tbLancamentos[Momento da falha],"&gt;"&amp;0,tbLancamentos[Momento do retorno],""),0))</f>
        <v/>
      </c>
    </row>
    <row r="269" spans="2:12" ht="20.100000000000001" customHeight="1" x14ac:dyDescent="0.25">
      <c r="B269" s="87">
        <v>263</v>
      </c>
      <c r="C269" s="88"/>
      <c r="D269" s="74"/>
      <c r="E269" s="74"/>
      <c r="F269" s="84" t="str">
        <f t="shared" si="4"/>
        <v/>
      </c>
      <c r="G269" s="89" t="str">
        <f>IF(F269="","",VLOOKUP($C269,CadSet!$C$7:$E$26,2,FALSE))</f>
        <v/>
      </c>
      <c r="H269" s="90" t="str">
        <f>IF(G269="","",VLOOKUP($C269,CadSet!$C$7:$E$26,3,FALSE))</f>
        <v/>
      </c>
      <c r="I269" s="91" t="str">
        <f>IF(F269="","",COUNTIFS(tbLancamentos[Equipamento],F269,tbLancamentos[Momento da falha],"&gt;="&amp;Res!$C$9,tbLancamentos[Momento da falha],"&lt;"&amp;Res!$O$9)+K269)</f>
        <v/>
      </c>
      <c r="J269" s="83" t="str">
        <f>IF(F269="","",SUMIFS(tbLancamentos[Tempo indisponível],tbLancamentos[Equipamento],F269,tbLancamentos[Momento da falha],"&gt;="&amp;Res!$C$9,tbLancamentos[Momento da falha],"&lt;"&amp;Res!$O$9)+K269)</f>
        <v/>
      </c>
      <c r="K269" s="79">
        <v>9.7379999999997797E-5</v>
      </c>
      <c r="L269" s="71" t="str">
        <f>IF(F269="","",IFERROR(COUNTIFS(tbLancamentos[Equipamento],F269,tbLancamentos[Momento da falha],"&gt;"&amp;0,tbLancamentos[Momento do retorno],""),0))</f>
        <v/>
      </c>
    </row>
    <row r="270" spans="2:12" ht="20.100000000000001" customHeight="1" x14ac:dyDescent="0.25">
      <c r="B270" s="87">
        <v>264</v>
      </c>
      <c r="C270" s="88"/>
      <c r="D270" s="74"/>
      <c r="E270" s="74"/>
      <c r="F270" s="84" t="str">
        <f t="shared" si="4"/>
        <v/>
      </c>
      <c r="G270" s="89" t="str">
        <f>IF(F270="","",VLOOKUP($C270,CadSet!$C$7:$E$26,2,FALSE))</f>
        <v/>
      </c>
      <c r="H270" s="90" t="str">
        <f>IF(G270="","",VLOOKUP($C270,CadSet!$C$7:$E$26,3,FALSE))</f>
        <v/>
      </c>
      <c r="I270" s="91" t="str">
        <f>IF(F270="","",COUNTIFS(tbLancamentos[Equipamento],F270,tbLancamentos[Momento da falha],"&gt;="&amp;Res!$C$9,tbLancamentos[Momento da falha],"&lt;"&amp;Res!$O$9)+K270)</f>
        <v/>
      </c>
      <c r="J270" s="83" t="str">
        <f>IF(F270="","",SUMIFS(tbLancamentos[Tempo indisponível],tbLancamentos[Equipamento],F270,tbLancamentos[Momento da falha],"&gt;="&amp;Res!$C$9,tbLancamentos[Momento da falha],"&lt;"&amp;Res!$O$9)+K270)</f>
        <v/>
      </c>
      <c r="K270" s="79">
        <v>9.7369999999997802E-5</v>
      </c>
      <c r="L270" s="71" t="str">
        <f>IF(F270="","",IFERROR(COUNTIFS(tbLancamentos[Equipamento],F270,tbLancamentos[Momento da falha],"&gt;"&amp;0,tbLancamentos[Momento do retorno],""),0))</f>
        <v/>
      </c>
    </row>
    <row r="271" spans="2:12" ht="20.100000000000001" customHeight="1" x14ac:dyDescent="0.25">
      <c r="B271" s="87">
        <v>265</v>
      </c>
      <c r="C271" s="88"/>
      <c r="D271" s="74"/>
      <c r="E271" s="74"/>
      <c r="F271" s="84" t="str">
        <f t="shared" si="4"/>
        <v/>
      </c>
      <c r="G271" s="89" t="str">
        <f>IF(F271="","",VLOOKUP($C271,CadSet!$C$7:$E$26,2,FALSE))</f>
        <v/>
      </c>
      <c r="H271" s="90" t="str">
        <f>IF(G271="","",VLOOKUP($C271,CadSet!$C$7:$E$26,3,FALSE))</f>
        <v/>
      </c>
      <c r="I271" s="91" t="str">
        <f>IF(F271="","",COUNTIFS(tbLancamentos[Equipamento],F271,tbLancamentos[Momento da falha],"&gt;="&amp;Res!$C$9,tbLancamentos[Momento da falha],"&lt;"&amp;Res!$O$9)+K271)</f>
        <v/>
      </c>
      <c r="J271" s="83" t="str">
        <f>IF(F271="","",SUMIFS(tbLancamentos[Tempo indisponível],tbLancamentos[Equipamento],F271,tbLancamentos[Momento da falha],"&gt;="&amp;Res!$C$9,tbLancamentos[Momento da falha],"&lt;"&amp;Res!$O$9)+K271)</f>
        <v/>
      </c>
      <c r="K271" s="79">
        <v>9.7359999999997794E-5</v>
      </c>
      <c r="L271" s="71" t="str">
        <f>IF(F271="","",IFERROR(COUNTIFS(tbLancamentos[Equipamento],F271,tbLancamentos[Momento da falha],"&gt;"&amp;0,tbLancamentos[Momento do retorno],""),0))</f>
        <v/>
      </c>
    </row>
    <row r="272" spans="2:12" ht="20.100000000000001" customHeight="1" x14ac:dyDescent="0.25">
      <c r="B272" s="87">
        <v>266</v>
      </c>
      <c r="C272" s="88"/>
      <c r="D272" s="74"/>
      <c r="E272" s="74"/>
      <c r="F272" s="84" t="str">
        <f t="shared" si="4"/>
        <v/>
      </c>
      <c r="G272" s="89" t="str">
        <f>IF(F272="","",VLOOKUP($C272,CadSet!$C$7:$E$26,2,FALSE))</f>
        <v/>
      </c>
      <c r="H272" s="90" t="str">
        <f>IF(G272="","",VLOOKUP($C272,CadSet!$C$7:$E$26,3,FALSE))</f>
        <v/>
      </c>
      <c r="I272" s="91" t="str">
        <f>IF(F272="","",COUNTIFS(tbLancamentos[Equipamento],F272,tbLancamentos[Momento da falha],"&gt;="&amp;Res!$C$9,tbLancamentos[Momento da falha],"&lt;"&amp;Res!$O$9)+K272)</f>
        <v/>
      </c>
      <c r="J272" s="83" t="str">
        <f>IF(F272="","",SUMIFS(tbLancamentos[Tempo indisponível],tbLancamentos[Equipamento],F272,tbLancamentos[Momento da falha],"&gt;="&amp;Res!$C$9,tbLancamentos[Momento da falha],"&lt;"&amp;Res!$O$9)+K272)</f>
        <v/>
      </c>
      <c r="K272" s="79">
        <v>9.7349999999997799E-5</v>
      </c>
      <c r="L272" s="71" t="str">
        <f>IF(F272="","",IFERROR(COUNTIFS(tbLancamentos[Equipamento],F272,tbLancamentos[Momento da falha],"&gt;"&amp;0,tbLancamentos[Momento do retorno],""),0))</f>
        <v/>
      </c>
    </row>
    <row r="273" spans="2:12" ht="20.100000000000001" customHeight="1" x14ac:dyDescent="0.25">
      <c r="B273" s="87">
        <v>267</v>
      </c>
      <c r="C273" s="88"/>
      <c r="D273" s="74"/>
      <c r="E273" s="74"/>
      <c r="F273" s="84" t="str">
        <f t="shared" si="4"/>
        <v/>
      </c>
      <c r="G273" s="89" t="str">
        <f>IF(F273="","",VLOOKUP($C273,CadSet!$C$7:$E$26,2,FALSE))</f>
        <v/>
      </c>
      <c r="H273" s="90" t="str">
        <f>IF(G273="","",VLOOKUP($C273,CadSet!$C$7:$E$26,3,FALSE))</f>
        <v/>
      </c>
      <c r="I273" s="91" t="str">
        <f>IF(F273="","",COUNTIFS(tbLancamentos[Equipamento],F273,tbLancamentos[Momento da falha],"&gt;="&amp;Res!$C$9,tbLancamentos[Momento da falha],"&lt;"&amp;Res!$O$9)+K273)</f>
        <v/>
      </c>
      <c r="J273" s="83" t="str">
        <f>IF(F273="","",SUMIFS(tbLancamentos[Tempo indisponível],tbLancamentos[Equipamento],F273,tbLancamentos[Momento da falha],"&gt;="&amp;Res!$C$9,tbLancamentos[Momento da falha],"&lt;"&amp;Res!$O$9)+K273)</f>
        <v/>
      </c>
      <c r="K273" s="79">
        <v>9.7339999999997804E-5</v>
      </c>
      <c r="L273" s="71" t="str">
        <f>IF(F273="","",IFERROR(COUNTIFS(tbLancamentos[Equipamento],F273,tbLancamentos[Momento da falha],"&gt;"&amp;0,tbLancamentos[Momento do retorno],""),0))</f>
        <v/>
      </c>
    </row>
    <row r="274" spans="2:12" ht="20.100000000000001" customHeight="1" x14ac:dyDescent="0.25">
      <c r="B274" s="87">
        <v>268</v>
      </c>
      <c r="C274" s="88"/>
      <c r="D274" s="74"/>
      <c r="E274" s="74"/>
      <c r="F274" s="84" t="str">
        <f t="shared" si="4"/>
        <v/>
      </c>
      <c r="G274" s="89" t="str">
        <f>IF(F274="","",VLOOKUP($C274,CadSet!$C$7:$E$26,2,FALSE))</f>
        <v/>
      </c>
      <c r="H274" s="90" t="str">
        <f>IF(G274="","",VLOOKUP($C274,CadSet!$C$7:$E$26,3,FALSE))</f>
        <v/>
      </c>
      <c r="I274" s="91" t="str">
        <f>IF(F274="","",COUNTIFS(tbLancamentos[Equipamento],F274,tbLancamentos[Momento da falha],"&gt;="&amp;Res!$C$9,tbLancamentos[Momento da falha],"&lt;"&amp;Res!$O$9)+K274)</f>
        <v/>
      </c>
      <c r="J274" s="83" t="str">
        <f>IF(F274="","",SUMIFS(tbLancamentos[Tempo indisponível],tbLancamentos[Equipamento],F274,tbLancamentos[Momento da falha],"&gt;="&amp;Res!$C$9,tbLancamentos[Momento da falha],"&lt;"&amp;Res!$O$9)+K274)</f>
        <v/>
      </c>
      <c r="K274" s="79">
        <v>9.7329999999997796E-5</v>
      </c>
      <c r="L274" s="71" t="str">
        <f>IF(F274="","",IFERROR(COUNTIFS(tbLancamentos[Equipamento],F274,tbLancamentos[Momento da falha],"&gt;"&amp;0,tbLancamentos[Momento do retorno],""),0))</f>
        <v/>
      </c>
    </row>
    <row r="275" spans="2:12" ht="20.100000000000001" customHeight="1" x14ac:dyDescent="0.25">
      <c r="B275" s="87">
        <v>269</v>
      </c>
      <c r="C275" s="88"/>
      <c r="D275" s="74"/>
      <c r="E275" s="74"/>
      <c r="F275" s="84" t="str">
        <f t="shared" si="4"/>
        <v/>
      </c>
      <c r="G275" s="89" t="str">
        <f>IF(F275="","",VLOOKUP($C275,CadSet!$C$7:$E$26,2,FALSE))</f>
        <v/>
      </c>
      <c r="H275" s="90" t="str">
        <f>IF(G275="","",VLOOKUP($C275,CadSet!$C$7:$E$26,3,FALSE))</f>
        <v/>
      </c>
      <c r="I275" s="91" t="str">
        <f>IF(F275="","",COUNTIFS(tbLancamentos[Equipamento],F275,tbLancamentos[Momento da falha],"&gt;="&amp;Res!$C$9,tbLancamentos[Momento da falha],"&lt;"&amp;Res!$O$9)+K275)</f>
        <v/>
      </c>
      <c r="J275" s="83" t="str">
        <f>IF(F275="","",SUMIFS(tbLancamentos[Tempo indisponível],tbLancamentos[Equipamento],F275,tbLancamentos[Momento da falha],"&gt;="&amp;Res!$C$9,tbLancamentos[Momento da falha],"&lt;"&amp;Res!$O$9)+K275)</f>
        <v/>
      </c>
      <c r="K275" s="79">
        <v>9.7319999999997801E-5</v>
      </c>
      <c r="L275" s="71" t="str">
        <f>IF(F275="","",IFERROR(COUNTIFS(tbLancamentos[Equipamento],F275,tbLancamentos[Momento da falha],"&gt;"&amp;0,tbLancamentos[Momento do retorno],""),0))</f>
        <v/>
      </c>
    </row>
    <row r="276" spans="2:12" ht="20.100000000000001" customHeight="1" x14ac:dyDescent="0.25">
      <c r="B276" s="87">
        <v>270</v>
      </c>
      <c r="C276" s="88"/>
      <c r="D276" s="74"/>
      <c r="E276" s="74"/>
      <c r="F276" s="84" t="str">
        <f t="shared" si="4"/>
        <v/>
      </c>
      <c r="G276" s="89" t="str">
        <f>IF(F276="","",VLOOKUP($C276,CadSet!$C$7:$E$26,2,FALSE))</f>
        <v/>
      </c>
      <c r="H276" s="90" t="str">
        <f>IF(G276="","",VLOOKUP($C276,CadSet!$C$7:$E$26,3,FALSE))</f>
        <v/>
      </c>
      <c r="I276" s="91" t="str">
        <f>IF(F276="","",COUNTIFS(tbLancamentos[Equipamento],F276,tbLancamentos[Momento da falha],"&gt;="&amp;Res!$C$9,tbLancamentos[Momento da falha],"&lt;"&amp;Res!$O$9)+K276)</f>
        <v/>
      </c>
      <c r="J276" s="83" t="str">
        <f>IF(F276="","",SUMIFS(tbLancamentos[Tempo indisponível],tbLancamentos[Equipamento],F276,tbLancamentos[Momento da falha],"&gt;="&amp;Res!$C$9,tbLancamentos[Momento da falha],"&lt;"&amp;Res!$O$9)+K276)</f>
        <v/>
      </c>
      <c r="K276" s="79">
        <v>9.7309999999997806E-5</v>
      </c>
      <c r="L276" s="71" t="str">
        <f>IF(F276="","",IFERROR(COUNTIFS(tbLancamentos[Equipamento],F276,tbLancamentos[Momento da falha],"&gt;"&amp;0,tbLancamentos[Momento do retorno],""),0))</f>
        <v/>
      </c>
    </row>
    <row r="277" spans="2:12" ht="20.100000000000001" customHeight="1" x14ac:dyDescent="0.25">
      <c r="B277" s="87">
        <v>271</v>
      </c>
      <c r="C277" s="88"/>
      <c r="D277" s="74"/>
      <c r="E277" s="74"/>
      <c r="F277" s="84" t="str">
        <f t="shared" si="4"/>
        <v/>
      </c>
      <c r="G277" s="89" t="str">
        <f>IF(F277="","",VLOOKUP($C277,CadSet!$C$7:$E$26,2,FALSE))</f>
        <v/>
      </c>
      <c r="H277" s="90" t="str">
        <f>IF(G277="","",VLOOKUP($C277,CadSet!$C$7:$E$26,3,FALSE))</f>
        <v/>
      </c>
      <c r="I277" s="91" t="str">
        <f>IF(F277="","",COUNTIFS(tbLancamentos[Equipamento],F277,tbLancamentos[Momento da falha],"&gt;="&amp;Res!$C$9,tbLancamentos[Momento da falha],"&lt;"&amp;Res!$O$9)+K277)</f>
        <v/>
      </c>
      <c r="J277" s="83" t="str">
        <f>IF(F277="","",SUMIFS(tbLancamentos[Tempo indisponível],tbLancamentos[Equipamento],F277,tbLancamentos[Momento da falha],"&gt;="&amp;Res!$C$9,tbLancamentos[Momento da falha],"&lt;"&amp;Res!$O$9)+K277)</f>
        <v/>
      </c>
      <c r="K277" s="79">
        <v>9.7299999999997703E-5</v>
      </c>
      <c r="L277" s="71" t="str">
        <f>IF(F277="","",IFERROR(COUNTIFS(tbLancamentos[Equipamento],F277,tbLancamentos[Momento da falha],"&gt;"&amp;0,tbLancamentos[Momento do retorno],""),0))</f>
        <v/>
      </c>
    </row>
    <row r="278" spans="2:12" ht="20.100000000000001" customHeight="1" x14ac:dyDescent="0.25">
      <c r="B278" s="87">
        <v>272</v>
      </c>
      <c r="C278" s="88"/>
      <c r="D278" s="74"/>
      <c r="E278" s="74"/>
      <c r="F278" s="84" t="str">
        <f t="shared" si="4"/>
        <v/>
      </c>
      <c r="G278" s="89" t="str">
        <f>IF(F278="","",VLOOKUP($C278,CadSet!$C$7:$E$26,2,FALSE))</f>
        <v/>
      </c>
      <c r="H278" s="90" t="str">
        <f>IF(G278="","",VLOOKUP($C278,CadSet!$C$7:$E$26,3,FALSE))</f>
        <v/>
      </c>
      <c r="I278" s="91" t="str">
        <f>IF(F278="","",COUNTIFS(tbLancamentos[Equipamento],F278,tbLancamentos[Momento da falha],"&gt;="&amp;Res!$C$9,tbLancamentos[Momento da falha],"&lt;"&amp;Res!$O$9)+K278)</f>
        <v/>
      </c>
      <c r="J278" s="83" t="str">
        <f>IF(F278="","",SUMIFS(tbLancamentos[Tempo indisponível],tbLancamentos[Equipamento],F278,tbLancamentos[Momento da falha],"&gt;="&amp;Res!$C$9,tbLancamentos[Momento da falha],"&lt;"&amp;Res!$O$9)+K278)</f>
        <v/>
      </c>
      <c r="K278" s="79">
        <v>9.7289999999997695E-5</v>
      </c>
      <c r="L278" s="71" t="str">
        <f>IF(F278="","",IFERROR(COUNTIFS(tbLancamentos[Equipamento],F278,tbLancamentos[Momento da falha],"&gt;"&amp;0,tbLancamentos[Momento do retorno],""),0))</f>
        <v/>
      </c>
    </row>
    <row r="279" spans="2:12" ht="20.100000000000001" customHeight="1" x14ac:dyDescent="0.25">
      <c r="B279" s="87">
        <v>273</v>
      </c>
      <c r="C279" s="88"/>
      <c r="D279" s="74"/>
      <c r="E279" s="74"/>
      <c r="F279" s="84" t="str">
        <f t="shared" si="4"/>
        <v/>
      </c>
      <c r="G279" s="89" t="str">
        <f>IF(F279="","",VLOOKUP($C279,CadSet!$C$7:$E$26,2,FALSE))</f>
        <v/>
      </c>
      <c r="H279" s="90" t="str">
        <f>IF(G279="","",VLOOKUP($C279,CadSet!$C$7:$E$26,3,FALSE))</f>
        <v/>
      </c>
      <c r="I279" s="91" t="str">
        <f>IF(F279="","",COUNTIFS(tbLancamentos[Equipamento],F279,tbLancamentos[Momento da falha],"&gt;="&amp;Res!$C$9,tbLancamentos[Momento da falha],"&lt;"&amp;Res!$O$9)+K279)</f>
        <v/>
      </c>
      <c r="J279" s="83" t="str">
        <f>IF(F279="","",SUMIFS(tbLancamentos[Tempo indisponível],tbLancamentos[Equipamento],F279,tbLancamentos[Momento da falha],"&gt;="&amp;Res!$C$9,tbLancamentos[Momento da falha],"&lt;"&amp;Res!$O$9)+K279)</f>
        <v/>
      </c>
      <c r="K279" s="79">
        <v>9.72799999999977E-5</v>
      </c>
      <c r="L279" s="71" t="str">
        <f>IF(F279="","",IFERROR(COUNTIFS(tbLancamentos[Equipamento],F279,tbLancamentos[Momento da falha],"&gt;"&amp;0,tbLancamentos[Momento do retorno],""),0))</f>
        <v/>
      </c>
    </row>
    <row r="280" spans="2:12" ht="20.100000000000001" customHeight="1" x14ac:dyDescent="0.25">
      <c r="B280" s="87">
        <v>274</v>
      </c>
      <c r="C280" s="88"/>
      <c r="D280" s="74"/>
      <c r="E280" s="74"/>
      <c r="F280" s="84" t="str">
        <f t="shared" si="4"/>
        <v/>
      </c>
      <c r="G280" s="89" t="str">
        <f>IF(F280="","",VLOOKUP($C280,CadSet!$C$7:$E$26,2,FALSE))</f>
        <v/>
      </c>
      <c r="H280" s="90" t="str">
        <f>IF(G280="","",VLOOKUP($C280,CadSet!$C$7:$E$26,3,FALSE))</f>
        <v/>
      </c>
      <c r="I280" s="91" t="str">
        <f>IF(F280="","",COUNTIFS(tbLancamentos[Equipamento],F280,tbLancamentos[Momento da falha],"&gt;="&amp;Res!$C$9,tbLancamentos[Momento da falha],"&lt;"&amp;Res!$O$9)+K280)</f>
        <v/>
      </c>
      <c r="J280" s="83" t="str">
        <f>IF(F280="","",SUMIFS(tbLancamentos[Tempo indisponível],tbLancamentos[Equipamento],F280,tbLancamentos[Momento da falha],"&gt;="&amp;Res!$C$9,tbLancamentos[Momento da falha],"&lt;"&amp;Res!$O$9)+K280)</f>
        <v/>
      </c>
      <c r="K280" s="79">
        <v>9.7269999999997705E-5</v>
      </c>
      <c r="L280" s="71" t="str">
        <f>IF(F280="","",IFERROR(COUNTIFS(tbLancamentos[Equipamento],F280,tbLancamentos[Momento da falha],"&gt;"&amp;0,tbLancamentos[Momento do retorno],""),0))</f>
        <v/>
      </c>
    </row>
    <row r="281" spans="2:12" ht="20.100000000000001" customHeight="1" x14ac:dyDescent="0.25">
      <c r="B281" s="87">
        <v>275</v>
      </c>
      <c r="C281" s="88"/>
      <c r="D281" s="74"/>
      <c r="E281" s="74"/>
      <c r="F281" s="84" t="str">
        <f t="shared" si="4"/>
        <v/>
      </c>
      <c r="G281" s="89" t="str">
        <f>IF(F281="","",VLOOKUP($C281,CadSet!$C$7:$E$26,2,FALSE))</f>
        <v/>
      </c>
      <c r="H281" s="90" t="str">
        <f>IF(G281="","",VLOOKUP($C281,CadSet!$C$7:$E$26,3,FALSE))</f>
        <v/>
      </c>
      <c r="I281" s="91" t="str">
        <f>IF(F281="","",COUNTIFS(tbLancamentos[Equipamento],F281,tbLancamentos[Momento da falha],"&gt;="&amp;Res!$C$9,tbLancamentos[Momento da falha],"&lt;"&amp;Res!$O$9)+K281)</f>
        <v/>
      </c>
      <c r="J281" s="83" t="str">
        <f>IF(F281="","",SUMIFS(tbLancamentos[Tempo indisponível],tbLancamentos[Equipamento],F281,tbLancamentos[Momento da falha],"&gt;="&amp;Res!$C$9,tbLancamentos[Momento da falha],"&lt;"&amp;Res!$O$9)+K281)</f>
        <v/>
      </c>
      <c r="K281" s="79">
        <v>9.7259999999997697E-5</v>
      </c>
      <c r="L281" s="71" t="str">
        <f>IF(F281="","",IFERROR(COUNTIFS(tbLancamentos[Equipamento],F281,tbLancamentos[Momento da falha],"&gt;"&amp;0,tbLancamentos[Momento do retorno],""),0))</f>
        <v/>
      </c>
    </row>
    <row r="282" spans="2:12" ht="20.100000000000001" customHeight="1" x14ac:dyDescent="0.25">
      <c r="B282" s="87">
        <v>276</v>
      </c>
      <c r="C282" s="88"/>
      <c r="D282" s="74"/>
      <c r="E282" s="74"/>
      <c r="F282" s="84" t="str">
        <f t="shared" si="4"/>
        <v/>
      </c>
      <c r="G282" s="89" t="str">
        <f>IF(F282="","",VLOOKUP($C282,CadSet!$C$7:$E$26,2,FALSE))</f>
        <v/>
      </c>
      <c r="H282" s="90" t="str">
        <f>IF(G282="","",VLOOKUP($C282,CadSet!$C$7:$E$26,3,FALSE))</f>
        <v/>
      </c>
      <c r="I282" s="91" t="str">
        <f>IF(F282="","",COUNTIFS(tbLancamentos[Equipamento],F282,tbLancamentos[Momento da falha],"&gt;="&amp;Res!$C$9,tbLancamentos[Momento da falha],"&lt;"&amp;Res!$O$9)+K282)</f>
        <v/>
      </c>
      <c r="J282" s="83" t="str">
        <f>IF(F282="","",SUMIFS(tbLancamentos[Tempo indisponível],tbLancamentos[Equipamento],F282,tbLancamentos[Momento da falha],"&gt;="&amp;Res!$C$9,tbLancamentos[Momento da falha],"&lt;"&amp;Res!$O$9)+K282)</f>
        <v/>
      </c>
      <c r="K282" s="79">
        <v>9.7249999999997702E-5</v>
      </c>
      <c r="L282" s="71" t="str">
        <f>IF(F282="","",IFERROR(COUNTIFS(tbLancamentos[Equipamento],F282,tbLancamentos[Momento da falha],"&gt;"&amp;0,tbLancamentos[Momento do retorno],""),0))</f>
        <v/>
      </c>
    </row>
    <row r="283" spans="2:12" ht="20.100000000000001" customHeight="1" x14ac:dyDescent="0.25">
      <c r="B283" s="87">
        <v>277</v>
      </c>
      <c r="C283" s="88"/>
      <c r="D283" s="74"/>
      <c r="E283" s="74"/>
      <c r="F283" s="84" t="str">
        <f t="shared" si="4"/>
        <v/>
      </c>
      <c r="G283" s="89" t="str">
        <f>IF(F283="","",VLOOKUP($C283,CadSet!$C$7:$E$26,2,FALSE))</f>
        <v/>
      </c>
      <c r="H283" s="90" t="str">
        <f>IF(G283="","",VLOOKUP($C283,CadSet!$C$7:$E$26,3,FALSE))</f>
        <v/>
      </c>
      <c r="I283" s="91" t="str">
        <f>IF(F283="","",COUNTIFS(tbLancamentos[Equipamento],F283,tbLancamentos[Momento da falha],"&gt;="&amp;Res!$C$9,tbLancamentos[Momento da falha],"&lt;"&amp;Res!$O$9)+K283)</f>
        <v/>
      </c>
      <c r="J283" s="83" t="str">
        <f>IF(F283="","",SUMIFS(tbLancamentos[Tempo indisponível],tbLancamentos[Equipamento],F283,tbLancamentos[Momento da falha],"&gt;="&amp;Res!$C$9,tbLancamentos[Momento da falha],"&lt;"&amp;Res!$O$9)+K283)</f>
        <v/>
      </c>
      <c r="K283" s="79">
        <v>9.7239999999997693E-5</v>
      </c>
      <c r="L283" s="71" t="str">
        <f>IF(F283="","",IFERROR(COUNTIFS(tbLancamentos[Equipamento],F283,tbLancamentos[Momento da falha],"&gt;"&amp;0,tbLancamentos[Momento do retorno],""),0))</f>
        <v/>
      </c>
    </row>
    <row r="284" spans="2:12" ht="20.100000000000001" customHeight="1" x14ac:dyDescent="0.25">
      <c r="B284" s="87">
        <v>278</v>
      </c>
      <c r="C284" s="88"/>
      <c r="D284" s="74"/>
      <c r="E284" s="74"/>
      <c r="F284" s="84" t="str">
        <f t="shared" si="4"/>
        <v/>
      </c>
      <c r="G284" s="89" t="str">
        <f>IF(F284="","",VLOOKUP($C284,CadSet!$C$7:$E$26,2,FALSE))</f>
        <v/>
      </c>
      <c r="H284" s="90" t="str">
        <f>IF(G284="","",VLOOKUP($C284,CadSet!$C$7:$E$26,3,FALSE))</f>
        <v/>
      </c>
      <c r="I284" s="91" t="str">
        <f>IF(F284="","",COUNTIFS(tbLancamentos[Equipamento],F284,tbLancamentos[Momento da falha],"&gt;="&amp;Res!$C$9,tbLancamentos[Momento da falha],"&lt;"&amp;Res!$O$9)+K284)</f>
        <v/>
      </c>
      <c r="J284" s="83" t="str">
        <f>IF(F284="","",SUMIFS(tbLancamentos[Tempo indisponível],tbLancamentos[Equipamento],F284,tbLancamentos[Momento da falha],"&gt;="&amp;Res!$C$9,tbLancamentos[Momento da falha],"&lt;"&amp;Res!$O$9)+K284)</f>
        <v/>
      </c>
      <c r="K284" s="79">
        <v>9.7229999999997699E-5</v>
      </c>
      <c r="L284" s="71" t="str">
        <f>IF(F284="","",IFERROR(COUNTIFS(tbLancamentos[Equipamento],F284,tbLancamentos[Momento da falha],"&gt;"&amp;0,tbLancamentos[Momento do retorno],""),0))</f>
        <v/>
      </c>
    </row>
    <row r="285" spans="2:12" ht="20.100000000000001" customHeight="1" x14ac:dyDescent="0.25">
      <c r="B285" s="87">
        <v>279</v>
      </c>
      <c r="C285" s="88"/>
      <c r="D285" s="74"/>
      <c r="E285" s="74"/>
      <c r="F285" s="84" t="str">
        <f t="shared" si="4"/>
        <v/>
      </c>
      <c r="G285" s="89" t="str">
        <f>IF(F285="","",VLOOKUP($C285,CadSet!$C$7:$E$26,2,FALSE))</f>
        <v/>
      </c>
      <c r="H285" s="90" t="str">
        <f>IF(G285="","",VLOOKUP($C285,CadSet!$C$7:$E$26,3,FALSE))</f>
        <v/>
      </c>
      <c r="I285" s="91" t="str">
        <f>IF(F285="","",COUNTIFS(tbLancamentos[Equipamento],F285,tbLancamentos[Momento da falha],"&gt;="&amp;Res!$C$9,tbLancamentos[Momento da falha],"&lt;"&amp;Res!$O$9)+K285)</f>
        <v/>
      </c>
      <c r="J285" s="83" t="str">
        <f>IF(F285="","",SUMIFS(tbLancamentos[Tempo indisponível],tbLancamentos[Equipamento],F285,tbLancamentos[Momento da falha],"&gt;="&amp;Res!$C$9,tbLancamentos[Momento da falha],"&lt;"&amp;Res!$O$9)+K285)</f>
        <v/>
      </c>
      <c r="K285" s="79">
        <v>9.7219999999997704E-5</v>
      </c>
      <c r="L285" s="71" t="str">
        <f>IF(F285="","",IFERROR(COUNTIFS(tbLancamentos[Equipamento],F285,tbLancamentos[Momento da falha],"&gt;"&amp;0,tbLancamentos[Momento do retorno],""),0))</f>
        <v/>
      </c>
    </row>
    <row r="286" spans="2:12" ht="20.100000000000001" customHeight="1" x14ac:dyDescent="0.25">
      <c r="B286" s="87">
        <v>280</v>
      </c>
      <c r="C286" s="88"/>
      <c r="D286" s="74"/>
      <c r="E286" s="74"/>
      <c r="F286" s="84" t="str">
        <f t="shared" si="4"/>
        <v/>
      </c>
      <c r="G286" s="89" t="str">
        <f>IF(F286="","",VLOOKUP($C286,CadSet!$C$7:$E$26,2,FALSE))</f>
        <v/>
      </c>
      <c r="H286" s="90" t="str">
        <f>IF(G286="","",VLOOKUP($C286,CadSet!$C$7:$E$26,3,FALSE))</f>
        <v/>
      </c>
      <c r="I286" s="91" t="str">
        <f>IF(F286="","",COUNTIFS(tbLancamentos[Equipamento],F286,tbLancamentos[Momento da falha],"&gt;="&amp;Res!$C$9,tbLancamentos[Momento da falha],"&lt;"&amp;Res!$O$9)+K286)</f>
        <v/>
      </c>
      <c r="J286" s="83" t="str">
        <f>IF(F286="","",SUMIFS(tbLancamentos[Tempo indisponível],tbLancamentos[Equipamento],F286,tbLancamentos[Momento da falha],"&gt;="&amp;Res!$C$9,tbLancamentos[Momento da falha],"&lt;"&amp;Res!$O$9)+K286)</f>
        <v/>
      </c>
      <c r="K286" s="79">
        <v>9.7209999999997695E-5</v>
      </c>
      <c r="L286" s="71" t="str">
        <f>IF(F286="","",IFERROR(COUNTIFS(tbLancamentos[Equipamento],F286,tbLancamentos[Momento da falha],"&gt;"&amp;0,tbLancamentos[Momento do retorno],""),0))</f>
        <v/>
      </c>
    </row>
    <row r="287" spans="2:12" ht="20.100000000000001" customHeight="1" x14ac:dyDescent="0.25">
      <c r="B287" s="87">
        <v>281</v>
      </c>
      <c r="C287" s="88"/>
      <c r="D287" s="74"/>
      <c r="E287" s="74"/>
      <c r="F287" s="84" t="str">
        <f t="shared" si="4"/>
        <v/>
      </c>
      <c r="G287" s="89" t="str">
        <f>IF(F287="","",VLOOKUP($C287,CadSet!$C$7:$E$26,2,FALSE))</f>
        <v/>
      </c>
      <c r="H287" s="90" t="str">
        <f>IF(G287="","",VLOOKUP($C287,CadSet!$C$7:$E$26,3,FALSE))</f>
        <v/>
      </c>
      <c r="I287" s="91" t="str">
        <f>IF(F287="","",COUNTIFS(tbLancamentos[Equipamento],F287,tbLancamentos[Momento da falha],"&gt;="&amp;Res!$C$9,tbLancamentos[Momento da falha],"&lt;"&amp;Res!$O$9)+K287)</f>
        <v/>
      </c>
      <c r="J287" s="83" t="str">
        <f>IF(F287="","",SUMIFS(tbLancamentos[Tempo indisponível],tbLancamentos[Equipamento],F287,tbLancamentos[Momento da falha],"&gt;="&amp;Res!$C$9,tbLancamentos[Momento da falha],"&lt;"&amp;Res!$O$9)+K287)</f>
        <v/>
      </c>
      <c r="K287" s="79">
        <v>9.7199999999997701E-5</v>
      </c>
      <c r="L287" s="71" t="str">
        <f>IF(F287="","",IFERROR(COUNTIFS(tbLancamentos[Equipamento],F287,tbLancamentos[Momento da falha],"&gt;"&amp;0,tbLancamentos[Momento do retorno],""),0))</f>
        <v/>
      </c>
    </row>
    <row r="288" spans="2:12" ht="20.100000000000001" customHeight="1" x14ac:dyDescent="0.25">
      <c r="B288" s="87">
        <v>282</v>
      </c>
      <c r="C288" s="88"/>
      <c r="D288" s="74"/>
      <c r="E288" s="74"/>
      <c r="F288" s="84" t="str">
        <f t="shared" si="4"/>
        <v/>
      </c>
      <c r="G288" s="89" t="str">
        <f>IF(F288="","",VLOOKUP($C288,CadSet!$C$7:$E$26,2,FALSE))</f>
        <v/>
      </c>
      <c r="H288" s="90" t="str">
        <f>IF(G288="","",VLOOKUP($C288,CadSet!$C$7:$E$26,3,FALSE))</f>
        <v/>
      </c>
      <c r="I288" s="91" t="str">
        <f>IF(F288="","",COUNTIFS(tbLancamentos[Equipamento],F288,tbLancamentos[Momento da falha],"&gt;="&amp;Res!$C$9,tbLancamentos[Momento da falha],"&lt;"&amp;Res!$O$9)+K288)</f>
        <v/>
      </c>
      <c r="J288" s="83" t="str">
        <f>IF(F288="","",SUMIFS(tbLancamentos[Tempo indisponível],tbLancamentos[Equipamento],F288,tbLancamentos[Momento da falha],"&gt;="&amp;Res!$C$9,tbLancamentos[Momento da falha],"&lt;"&amp;Res!$O$9)+K288)</f>
        <v/>
      </c>
      <c r="K288" s="79">
        <v>9.7189999999997706E-5</v>
      </c>
      <c r="L288" s="71" t="str">
        <f>IF(F288="","",IFERROR(COUNTIFS(tbLancamentos[Equipamento],F288,tbLancamentos[Momento da falha],"&gt;"&amp;0,tbLancamentos[Momento do retorno],""),0))</f>
        <v/>
      </c>
    </row>
    <row r="289" spans="2:12" ht="20.100000000000001" customHeight="1" x14ac:dyDescent="0.25">
      <c r="B289" s="87">
        <v>283</v>
      </c>
      <c r="C289" s="88"/>
      <c r="D289" s="74"/>
      <c r="E289" s="74"/>
      <c r="F289" s="84" t="str">
        <f t="shared" si="4"/>
        <v/>
      </c>
      <c r="G289" s="89" t="str">
        <f>IF(F289="","",VLOOKUP($C289,CadSet!$C$7:$E$26,2,FALSE))</f>
        <v/>
      </c>
      <c r="H289" s="90" t="str">
        <f>IF(G289="","",VLOOKUP($C289,CadSet!$C$7:$E$26,3,FALSE))</f>
        <v/>
      </c>
      <c r="I289" s="91" t="str">
        <f>IF(F289="","",COUNTIFS(tbLancamentos[Equipamento],F289,tbLancamentos[Momento da falha],"&gt;="&amp;Res!$C$9,tbLancamentos[Momento da falha],"&lt;"&amp;Res!$O$9)+K289)</f>
        <v/>
      </c>
      <c r="J289" s="83" t="str">
        <f>IF(F289="","",SUMIFS(tbLancamentos[Tempo indisponível],tbLancamentos[Equipamento],F289,tbLancamentos[Momento da falha],"&gt;="&amp;Res!$C$9,tbLancamentos[Momento da falha],"&lt;"&amp;Res!$O$9)+K289)</f>
        <v/>
      </c>
      <c r="K289" s="79">
        <v>9.7179999999997603E-5</v>
      </c>
      <c r="L289" s="71" t="str">
        <f>IF(F289="","",IFERROR(COUNTIFS(tbLancamentos[Equipamento],F289,tbLancamentos[Momento da falha],"&gt;"&amp;0,tbLancamentos[Momento do retorno],""),0))</f>
        <v/>
      </c>
    </row>
    <row r="290" spans="2:12" ht="20.100000000000001" customHeight="1" x14ac:dyDescent="0.25">
      <c r="B290" s="87">
        <v>284</v>
      </c>
      <c r="C290" s="88"/>
      <c r="D290" s="74"/>
      <c r="E290" s="74"/>
      <c r="F290" s="84" t="str">
        <f t="shared" si="4"/>
        <v/>
      </c>
      <c r="G290" s="89" t="str">
        <f>IF(F290="","",VLOOKUP($C290,CadSet!$C$7:$E$26,2,FALSE))</f>
        <v/>
      </c>
      <c r="H290" s="90" t="str">
        <f>IF(G290="","",VLOOKUP($C290,CadSet!$C$7:$E$26,3,FALSE))</f>
        <v/>
      </c>
      <c r="I290" s="91" t="str">
        <f>IF(F290="","",COUNTIFS(tbLancamentos[Equipamento],F290,tbLancamentos[Momento da falha],"&gt;="&amp;Res!$C$9,tbLancamentos[Momento da falha],"&lt;"&amp;Res!$O$9)+K290)</f>
        <v/>
      </c>
      <c r="J290" s="83" t="str">
        <f>IF(F290="","",SUMIFS(tbLancamentos[Tempo indisponível],tbLancamentos[Equipamento],F290,tbLancamentos[Momento da falha],"&gt;="&amp;Res!$C$9,tbLancamentos[Momento da falha],"&lt;"&amp;Res!$O$9)+K290)</f>
        <v/>
      </c>
      <c r="K290" s="79">
        <v>9.7169999999997594E-5</v>
      </c>
      <c r="L290" s="71" t="str">
        <f>IF(F290="","",IFERROR(COUNTIFS(tbLancamentos[Equipamento],F290,tbLancamentos[Momento da falha],"&gt;"&amp;0,tbLancamentos[Momento do retorno],""),0))</f>
        <v/>
      </c>
    </row>
    <row r="291" spans="2:12" ht="20.100000000000001" customHeight="1" x14ac:dyDescent="0.25">
      <c r="B291" s="87">
        <v>285</v>
      </c>
      <c r="C291" s="88"/>
      <c r="D291" s="74"/>
      <c r="E291" s="74"/>
      <c r="F291" s="84" t="str">
        <f t="shared" si="4"/>
        <v/>
      </c>
      <c r="G291" s="89" t="str">
        <f>IF(F291="","",VLOOKUP($C291,CadSet!$C$7:$E$26,2,FALSE))</f>
        <v/>
      </c>
      <c r="H291" s="90" t="str">
        <f>IF(G291="","",VLOOKUP($C291,CadSet!$C$7:$E$26,3,FALSE))</f>
        <v/>
      </c>
      <c r="I291" s="91" t="str">
        <f>IF(F291="","",COUNTIFS(tbLancamentos[Equipamento],F291,tbLancamentos[Momento da falha],"&gt;="&amp;Res!$C$9,tbLancamentos[Momento da falha],"&lt;"&amp;Res!$O$9)+K291)</f>
        <v/>
      </c>
      <c r="J291" s="83" t="str">
        <f>IF(F291="","",SUMIFS(tbLancamentos[Tempo indisponível],tbLancamentos[Equipamento],F291,tbLancamentos[Momento da falha],"&gt;="&amp;Res!$C$9,tbLancamentos[Momento da falha],"&lt;"&amp;Res!$O$9)+K291)</f>
        <v/>
      </c>
      <c r="K291" s="79">
        <v>9.7159999999997599E-5</v>
      </c>
      <c r="L291" s="71" t="str">
        <f>IF(F291="","",IFERROR(COUNTIFS(tbLancamentos[Equipamento],F291,tbLancamentos[Momento da falha],"&gt;"&amp;0,tbLancamentos[Momento do retorno],""),0))</f>
        <v/>
      </c>
    </row>
    <row r="292" spans="2:12" ht="20.100000000000001" customHeight="1" x14ac:dyDescent="0.25">
      <c r="B292" s="87">
        <v>286</v>
      </c>
      <c r="C292" s="88"/>
      <c r="D292" s="74"/>
      <c r="E292" s="74"/>
      <c r="F292" s="84" t="str">
        <f t="shared" si="4"/>
        <v/>
      </c>
      <c r="G292" s="89" t="str">
        <f>IF(F292="","",VLOOKUP($C292,CadSet!$C$7:$E$26,2,FALSE))</f>
        <v/>
      </c>
      <c r="H292" s="90" t="str">
        <f>IF(G292="","",VLOOKUP($C292,CadSet!$C$7:$E$26,3,FALSE))</f>
        <v/>
      </c>
      <c r="I292" s="91" t="str">
        <f>IF(F292="","",COUNTIFS(tbLancamentos[Equipamento],F292,tbLancamentos[Momento da falha],"&gt;="&amp;Res!$C$9,tbLancamentos[Momento da falha],"&lt;"&amp;Res!$O$9)+K292)</f>
        <v/>
      </c>
      <c r="J292" s="83" t="str">
        <f>IF(F292="","",SUMIFS(tbLancamentos[Tempo indisponível],tbLancamentos[Equipamento],F292,tbLancamentos[Momento da falha],"&gt;="&amp;Res!$C$9,tbLancamentos[Momento da falha],"&lt;"&amp;Res!$O$9)+K292)</f>
        <v/>
      </c>
      <c r="K292" s="79">
        <v>9.7149999999997604E-5</v>
      </c>
      <c r="L292" s="71" t="str">
        <f>IF(F292="","",IFERROR(COUNTIFS(tbLancamentos[Equipamento],F292,tbLancamentos[Momento da falha],"&gt;"&amp;0,tbLancamentos[Momento do retorno],""),0))</f>
        <v/>
      </c>
    </row>
    <row r="293" spans="2:12" ht="20.100000000000001" customHeight="1" x14ac:dyDescent="0.25">
      <c r="B293" s="87">
        <v>287</v>
      </c>
      <c r="C293" s="88"/>
      <c r="D293" s="74"/>
      <c r="E293" s="74"/>
      <c r="F293" s="84" t="str">
        <f t="shared" si="4"/>
        <v/>
      </c>
      <c r="G293" s="89" t="str">
        <f>IF(F293="","",VLOOKUP($C293,CadSet!$C$7:$E$26,2,FALSE))</f>
        <v/>
      </c>
      <c r="H293" s="90" t="str">
        <f>IF(G293="","",VLOOKUP($C293,CadSet!$C$7:$E$26,3,FALSE))</f>
        <v/>
      </c>
      <c r="I293" s="91" t="str">
        <f>IF(F293="","",COUNTIFS(tbLancamentos[Equipamento],F293,tbLancamentos[Momento da falha],"&gt;="&amp;Res!$C$9,tbLancamentos[Momento da falha],"&lt;"&amp;Res!$O$9)+K293)</f>
        <v/>
      </c>
      <c r="J293" s="83" t="str">
        <f>IF(F293="","",SUMIFS(tbLancamentos[Tempo indisponível],tbLancamentos[Equipamento],F293,tbLancamentos[Momento da falha],"&gt;="&amp;Res!$C$9,tbLancamentos[Momento da falha],"&lt;"&amp;Res!$O$9)+K293)</f>
        <v/>
      </c>
      <c r="K293" s="79">
        <v>9.7139999999997596E-5</v>
      </c>
      <c r="L293" s="71" t="str">
        <f>IF(F293="","",IFERROR(COUNTIFS(tbLancamentos[Equipamento],F293,tbLancamentos[Momento da falha],"&gt;"&amp;0,tbLancamentos[Momento do retorno],""),0))</f>
        <v/>
      </c>
    </row>
    <row r="294" spans="2:12" ht="20.100000000000001" customHeight="1" x14ac:dyDescent="0.25">
      <c r="B294" s="87">
        <v>288</v>
      </c>
      <c r="C294" s="88"/>
      <c r="D294" s="74"/>
      <c r="E294" s="74"/>
      <c r="F294" s="84" t="str">
        <f t="shared" si="4"/>
        <v/>
      </c>
      <c r="G294" s="89" t="str">
        <f>IF(F294="","",VLOOKUP($C294,CadSet!$C$7:$E$26,2,FALSE))</f>
        <v/>
      </c>
      <c r="H294" s="90" t="str">
        <f>IF(G294="","",VLOOKUP($C294,CadSet!$C$7:$E$26,3,FALSE))</f>
        <v/>
      </c>
      <c r="I294" s="91" t="str">
        <f>IF(F294="","",COUNTIFS(tbLancamentos[Equipamento],F294,tbLancamentos[Momento da falha],"&gt;="&amp;Res!$C$9,tbLancamentos[Momento da falha],"&lt;"&amp;Res!$O$9)+K294)</f>
        <v/>
      </c>
      <c r="J294" s="83" t="str">
        <f>IF(F294="","",SUMIFS(tbLancamentos[Tempo indisponível],tbLancamentos[Equipamento],F294,tbLancamentos[Momento da falha],"&gt;="&amp;Res!$C$9,tbLancamentos[Momento da falha],"&lt;"&amp;Res!$O$9)+K294)</f>
        <v/>
      </c>
      <c r="K294" s="79">
        <v>9.7129999999997601E-5</v>
      </c>
      <c r="L294" s="71" t="str">
        <f>IF(F294="","",IFERROR(COUNTIFS(tbLancamentos[Equipamento],F294,tbLancamentos[Momento da falha],"&gt;"&amp;0,tbLancamentos[Momento do retorno],""),0))</f>
        <v/>
      </c>
    </row>
    <row r="295" spans="2:12" ht="20.100000000000001" customHeight="1" x14ac:dyDescent="0.25">
      <c r="B295" s="87">
        <v>289</v>
      </c>
      <c r="C295" s="88"/>
      <c r="D295" s="74"/>
      <c r="E295" s="74"/>
      <c r="F295" s="84" t="str">
        <f t="shared" si="4"/>
        <v/>
      </c>
      <c r="G295" s="89" t="str">
        <f>IF(F295="","",VLOOKUP($C295,CadSet!$C$7:$E$26,2,FALSE))</f>
        <v/>
      </c>
      <c r="H295" s="90" t="str">
        <f>IF(G295="","",VLOOKUP($C295,CadSet!$C$7:$E$26,3,FALSE))</f>
        <v/>
      </c>
      <c r="I295" s="91" t="str">
        <f>IF(F295="","",COUNTIFS(tbLancamentos[Equipamento],F295,tbLancamentos[Momento da falha],"&gt;="&amp;Res!$C$9,tbLancamentos[Momento da falha],"&lt;"&amp;Res!$O$9)+K295)</f>
        <v/>
      </c>
      <c r="J295" s="83" t="str">
        <f>IF(F295="","",SUMIFS(tbLancamentos[Tempo indisponível],tbLancamentos[Equipamento],F295,tbLancamentos[Momento da falha],"&gt;="&amp;Res!$C$9,tbLancamentos[Momento da falha],"&lt;"&amp;Res!$O$9)+K295)</f>
        <v/>
      </c>
      <c r="K295" s="79">
        <v>9.7119999999997606E-5</v>
      </c>
      <c r="L295" s="71" t="str">
        <f>IF(F295="","",IFERROR(COUNTIFS(tbLancamentos[Equipamento],F295,tbLancamentos[Momento da falha],"&gt;"&amp;0,tbLancamentos[Momento do retorno],""),0))</f>
        <v/>
      </c>
    </row>
    <row r="296" spans="2:12" ht="20.100000000000001" customHeight="1" x14ac:dyDescent="0.25">
      <c r="B296" s="87">
        <v>290</v>
      </c>
      <c r="C296" s="88"/>
      <c r="D296" s="74"/>
      <c r="E296" s="74"/>
      <c r="F296" s="84" t="str">
        <f t="shared" si="4"/>
        <v/>
      </c>
      <c r="G296" s="89" t="str">
        <f>IF(F296="","",VLOOKUP($C296,CadSet!$C$7:$E$26,2,FALSE))</f>
        <v/>
      </c>
      <c r="H296" s="90" t="str">
        <f>IF(G296="","",VLOOKUP($C296,CadSet!$C$7:$E$26,3,FALSE))</f>
        <v/>
      </c>
      <c r="I296" s="91" t="str">
        <f>IF(F296="","",COUNTIFS(tbLancamentos[Equipamento],F296,tbLancamentos[Momento da falha],"&gt;="&amp;Res!$C$9,tbLancamentos[Momento da falha],"&lt;"&amp;Res!$O$9)+K296)</f>
        <v/>
      </c>
      <c r="J296" s="83" t="str">
        <f>IF(F296="","",SUMIFS(tbLancamentos[Tempo indisponível],tbLancamentos[Equipamento],F296,tbLancamentos[Momento da falha],"&gt;="&amp;Res!$C$9,tbLancamentos[Momento da falha],"&lt;"&amp;Res!$O$9)+K296)</f>
        <v/>
      </c>
      <c r="K296" s="79">
        <v>9.7109999999997598E-5</v>
      </c>
      <c r="L296" s="71" t="str">
        <f>IF(F296="","",IFERROR(COUNTIFS(tbLancamentos[Equipamento],F296,tbLancamentos[Momento da falha],"&gt;"&amp;0,tbLancamentos[Momento do retorno],""),0))</f>
        <v/>
      </c>
    </row>
    <row r="297" spans="2:12" ht="20.100000000000001" customHeight="1" x14ac:dyDescent="0.25">
      <c r="B297" s="87">
        <v>291</v>
      </c>
      <c r="C297" s="88"/>
      <c r="D297" s="74"/>
      <c r="E297" s="74"/>
      <c r="F297" s="84" t="str">
        <f t="shared" si="4"/>
        <v/>
      </c>
      <c r="G297" s="89" t="str">
        <f>IF(F297="","",VLOOKUP($C297,CadSet!$C$7:$E$26,2,FALSE))</f>
        <v/>
      </c>
      <c r="H297" s="90" t="str">
        <f>IF(G297="","",VLOOKUP($C297,CadSet!$C$7:$E$26,3,FALSE))</f>
        <v/>
      </c>
      <c r="I297" s="91" t="str">
        <f>IF(F297="","",COUNTIFS(tbLancamentos[Equipamento],F297,tbLancamentos[Momento da falha],"&gt;="&amp;Res!$C$9,tbLancamentos[Momento da falha],"&lt;"&amp;Res!$O$9)+K297)</f>
        <v/>
      </c>
      <c r="J297" s="83" t="str">
        <f>IF(F297="","",SUMIFS(tbLancamentos[Tempo indisponível],tbLancamentos[Equipamento],F297,tbLancamentos[Momento da falha],"&gt;="&amp;Res!$C$9,tbLancamentos[Momento da falha],"&lt;"&amp;Res!$O$9)+K297)</f>
        <v/>
      </c>
      <c r="K297" s="79">
        <v>9.7099999999997603E-5</v>
      </c>
      <c r="L297" s="71" t="str">
        <f>IF(F297="","",IFERROR(COUNTIFS(tbLancamentos[Equipamento],F297,tbLancamentos[Momento da falha],"&gt;"&amp;0,tbLancamentos[Momento do retorno],""),0))</f>
        <v/>
      </c>
    </row>
    <row r="298" spans="2:12" ht="20.100000000000001" customHeight="1" x14ac:dyDescent="0.25">
      <c r="B298" s="87">
        <v>292</v>
      </c>
      <c r="C298" s="88"/>
      <c r="D298" s="74"/>
      <c r="E298" s="74"/>
      <c r="F298" s="84" t="str">
        <f t="shared" si="4"/>
        <v/>
      </c>
      <c r="G298" s="89" t="str">
        <f>IF(F298="","",VLOOKUP($C298,CadSet!$C$7:$E$26,2,FALSE))</f>
        <v/>
      </c>
      <c r="H298" s="90" t="str">
        <f>IF(G298="","",VLOOKUP($C298,CadSet!$C$7:$E$26,3,FALSE))</f>
        <v/>
      </c>
      <c r="I298" s="91" t="str">
        <f>IF(F298="","",COUNTIFS(tbLancamentos[Equipamento],F298,tbLancamentos[Momento da falha],"&gt;="&amp;Res!$C$9,tbLancamentos[Momento da falha],"&lt;"&amp;Res!$O$9)+K298)</f>
        <v/>
      </c>
      <c r="J298" s="83" t="str">
        <f>IF(F298="","",SUMIFS(tbLancamentos[Tempo indisponível],tbLancamentos[Equipamento],F298,tbLancamentos[Momento da falha],"&gt;="&amp;Res!$C$9,tbLancamentos[Momento da falha],"&lt;"&amp;Res!$O$9)+K298)</f>
        <v/>
      </c>
      <c r="K298" s="79">
        <v>9.7089999999997595E-5</v>
      </c>
      <c r="L298" s="71" t="str">
        <f>IF(F298="","",IFERROR(COUNTIFS(tbLancamentos[Equipamento],F298,tbLancamentos[Momento da falha],"&gt;"&amp;0,tbLancamentos[Momento do retorno],""),0))</f>
        <v/>
      </c>
    </row>
    <row r="299" spans="2:12" ht="20.100000000000001" customHeight="1" x14ac:dyDescent="0.25">
      <c r="B299" s="87">
        <v>293</v>
      </c>
      <c r="C299" s="88"/>
      <c r="D299" s="74"/>
      <c r="E299" s="74"/>
      <c r="F299" s="84" t="str">
        <f t="shared" si="4"/>
        <v/>
      </c>
      <c r="G299" s="89" t="str">
        <f>IF(F299="","",VLOOKUP($C299,CadSet!$C$7:$E$26,2,FALSE))</f>
        <v/>
      </c>
      <c r="H299" s="90" t="str">
        <f>IF(G299="","",VLOOKUP($C299,CadSet!$C$7:$E$26,3,FALSE))</f>
        <v/>
      </c>
      <c r="I299" s="91" t="str">
        <f>IF(F299="","",COUNTIFS(tbLancamentos[Equipamento],F299,tbLancamentos[Momento da falha],"&gt;="&amp;Res!$C$9,tbLancamentos[Momento da falha],"&lt;"&amp;Res!$O$9)+K299)</f>
        <v/>
      </c>
      <c r="J299" s="83" t="str">
        <f>IF(F299="","",SUMIFS(tbLancamentos[Tempo indisponível],tbLancamentos[Equipamento],F299,tbLancamentos[Momento da falha],"&gt;="&amp;Res!$C$9,tbLancamentos[Momento da falha],"&lt;"&amp;Res!$O$9)+K299)</f>
        <v/>
      </c>
      <c r="K299" s="79">
        <v>9.70799999999976E-5</v>
      </c>
      <c r="L299" s="71" t="str">
        <f>IF(F299="","",IFERROR(COUNTIFS(tbLancamentos[Equipamento],F299,tbLancamentos[Momento da falha],"&gt;"&amp;0,tbLancamentos[Momento do retorno],""),0))</f>
        <v/>
      </c>
    </row>
    <row r="300" spans="2:12" ht="20.100000000000001" customHeight="1" x14ac:dyDescent="0.25">
      <c r="B300" s="87">
        <v>294</v>
      </c>
      <c r="C300" s="88"/>
      <c r="D300" s="74"/>
      <c r="E300" s="74"/>
      <c r="F300" s="84" t="str">
        <f t="shared" si="4"/>
        <v/>
      </c>
      <c r="G300" s="89" t="str">
        <f>IF(F300="","",VLOOKUP($C300,CadSet!$C$7:$E$26,2,FALSE))</f>
        <v/>
      </c>
      <c r="H300" s="90" t="str">
        <f>IF(G300="","",VLOOKUP($C300,CadSet!$C$7:$E$26,3,FALSE))</f>
        <v/>
      </c>
      <c r="I300" s="91" t="str">
        <f>IF(F300="","",COUNTIFS(tbLancamentos[Equipamento],F300,tbLancamentos[Momento da falha],"&gt;="&amp;Res!$C$9,tbLancamentos[Momento da falha],"&lt;"&amp;Res!$O$9)+K300)</f>
        <v/>
      </c>
      <c r="J300" s="83" t="str">
        <f>IF(F300="","",SUMIFS(tbLancamentos[Tempo indisponível],tbLancamentos[Equipamento],F300,tbLancamentos[Momento da falha],"&gt;="&amp;Res!$C$9,tbLancamentos[Momento da falha],"&lt;"&amp;Res!$O$9)+K300)</f>
        <v/>
      </c>
      <c r="K300" s="79">
        <v>9.7069999999997605E-5</v>
      </c>
      <c r="L300" s="71" t="str">
        <f>IF(F300="","",IFERROR(COUNTIFS(tbLancamentos[Equipamento],F300,tbLancamentos[Momento da falha],"&gt;"&amp;0,tbLancamentos[Momento do retorno],""),0))</f>
        <v/>
      </c>
    </row>
    <row r="301" spans="2:12" ht="20.100000000000001" customHeight="1" x14ac:dyDescent="0.25">
      <c r="B301" s="87">
        <v>295</v>
      </c>
      <c r="C301" s="88"/>
      <c r="D301" s="74"/>
      <c r="E301" s="74"/>
      <c r="F301" s="84" t="str">
        <f t="shared" si="4"/>
        <v/>
      </c>
      <c r="G301" s="89" t="str">
        <f>IF(F301="","",VLOOKUP($C301,CadSet!$C$7:$E$26,2,FALSE))</f>
        <v/>
      </c>
      <c r="H301" s="90" t="str">
        <f>IF(G301="","",VLOOKUP($C301,CadSet!$C$7:$E$26,3,FALSE))</f>
        <v/>
      </c>
      <c r="I301" s="91" t="str">
        <f>IF(F301="","",COUNTIFS(tbLancamentos[Equipamento],F301,tbLancamentos[Momento da falha],"&gt;="&amp;Res!$C$9,tbLancamentos[Momento da falha],"&lt;"&amp;Res!$O$9)+K301)</f>
        <v/>
      </c>
      <c r="J301" s="83" t="str">
        <f>IF(F301="","",SUMIFS(tbLancamentos[Tempo indisponível],tbLancamentos[Equipamento],F301,tbLancamentos[Momento da falha],"&gt;="&amp;Res!$C$9,tbLancamentos[Momento da falha],"&lt;"&amp;Res!$O$9)+K301)</f>
        <v/>
      </c>
      <c r="K301" s="79">
        <v>9.7059999999997502E-5</v>
      </c>
      <c r="L301" s="71" t="str">
        <f>IF(F301="","",IFERROR(COUNTIFS(tbLancamentos[Equipamento],F301,tbLancamentos[Momento da falha],"&gt;"&amp;0,tbLancamentos[Momento do retorno],""),0))</f>
        <v/>
      </c>
    </row>
    <row r="302" spans="2:12" ht="20.100000000000001" customHeight="1" x14ac:dyDescent="0.25">
      <c r="B302" s="87">
        <v>296</v>
      </c>
      <c r="C302" s="88"/>
      <c r="D302" s="74"/>
      <c r="E302" s="74"/>
      <c r="F302" s="84" t="str">
        <f t="shared" si="4"/>
        <v/>
      </c>
      <c r="G302" s="89" t="str">
        <f>IF(F302="","",VLOOKUP($C302,CadSet!$C$7:$E$26,2,FALSE))</f>
        <v/>
      </c>
      <c r="H302" s="90" t="str">
        <f>IF(G302="","",VLOOKUP($C302,CadSet!$C$7:$E$26,3,FALSE))</f>
        <v/>
      </c>
      <c r="I302" s="91" t="str">
        <f>IF(F302="","",COUNTIFS(tbLancamentos[Equipamento],F302,tbLancamentos[Momento da falha],"&gt;="&amp;Res!$C$9,tbLancamentos[Momento da falha],"&lt;"&amp;Res!$O$9)+K302)</f>
        <v/>
      </c>
      <c r="J302" s="83" t="str">
        <f>IF(F302="","",SUMIFS(tbLancamentos[Tempo indisponível],tbLancamentos[Equipamento],F302,tbLancamentos[Momento da falha],"&gt;="&amp;Res!$C$9,tbLancamentos[Momento da falha],"&lt;"&amp;Res!$O$9)+K302)</f>
        <v/>
      </c>
      <c r="K302" s="79">
        <v>9.7049999999997494E-5</v>
      </c>
      <c r="L302" s="71" t="str">
        <f>IF(F302="","",IFERROR(COUNTIFS(tbLancamentos[Equipamento],F302,tbLancamentos[Momento da falha],"&gt;"&amp;0,tbLancamentos[Momento do retorno],""),0))</f>
        <v/>
      </c>
    </row>
    <row r="303" spans="2:12" ht="20.100000000000001" customHeight="1" x14ac:dyDescent="0.25">
      <c r="B303" s="87">
        <v>297</v>
      </c>
      <c r="C303" s="88"/>
      <c r="D303" s="74"/>
      <c r="E303" s="74"/>
      <c r="F303" s="84" t="str">
        <f t="shared" si="4"/>
        <v/>
      </c>
      <c r="G303" s="89" t="str">
        <f>IF(F303="","",VLOOKUP($C303,CadSet!$C$7:$E$26,2,FALSE))</f>
        <v/>
      </c>
      <c r="H303" s="90" t="str">
        <f>IF(G303="","",VLOOKUP($C303,CadSet!$C$7:$E$26,3,FALSE))</f>
        <v/>
      </c>
      <c r="I303" s="91" t="str">
        <f>IF(F303="","",COUNTIFS(tbLancamentos[Equipamento],F303,tbLancamentos[Momento da falha],"&gt;="&amp;Res!$C$9,tbLancamentos[Momento da falha],"&lt;"&amp;Res!$O$9)+K303)</f>
        <v/>
      </c>
      <c r="J303" s="83" t="str">
        <f>IF(F303="","",SUMIFS(tbLancamentos[Tempo indisponível],tbLancamentos[Equipamento],F303,tbLancamentos[Momento da falha],"&gt;="&amp;Res!$C$9,tbLancamentos[Momento da falha],"&lt;"&amp;Res!$O$9)+K303)</f>
        <v/>
      </c>
      <c r="K303" s="79">
        <v>9.7039999999997499E-5</v>
      </c>
      <c r="L303" s="71" t="str">
        <f>IF(F303="","",IFERROR(COUNTIFS(tbLancamentos[Equipamento],F303,tbLancamentos[Momento da falha],"&gt;"&amp;0,tbLancamentos[Momento do retorno],""),0))</f>
        <v/>
      </c>
    </row>
    <row r="304" spans="2:12" ht="20.100000000000001" customHeight="1" x14ac:dyDescent="0.25">
      <c r="B304" s="87">
        <v>298</v>
      </c>
      <c r="C304" s="88"/>
      <c r="D304" s="74"/>
      <c r="E304" s="74"/>
      <c r="F304" s="84" t="str">
        <f t="shared" si="4"/>
        <v/>
      </c>
      <c r="G304" s="89" t="str">
        <f>IF(F304="","",VLOOKUP($C304,CadSet!$C$7:$E$26,2,FALSE))</f>
        <v/>
      </c>
      <c r="H304" s="90" t="str">
        <f>IF(G304="","",VLOOKUP($C304,CadSet!$C$7:$E$26,3,FALSE))</f>
        <v/>
      </c>
      <c r="I304" s="91" t="str">
        <f>IF(F304="","",COUNTIFS(tbLancamentos[Equipamento],F304,tbLancamentos[Momento da falha],"&gt;="&amp;Res!$C$9,tbLancamentos[Momento da falha],"&lt;"&amp;Res!$O$9)+K304)</f>
        <v/>
      </c>
      <c r="J304" s="83" t="str">
        <f>IF(F304="","",SUMIFS(tbLancamentos[Tempo indisponível],tbLancamentos[Equipamento],F304,tbLancamentos[Momento da falha],"&gt;="&amp;Res!$C$9,tbLancamentos[Momento da falha],"&lt;"&amp;Res!$O$9)+K304)</f>
        <v/>
      </c>
      <c r="K304" s="79">
        <v>9.7029999999997504E-5</v>
      </c>
      <c r="L304" s="71" t="str">
        <f>IF(F304="","",IFERROR(COUNTIFS(tbLancamentos[Equipamento],F304,tbLancamentos[Momento da falha],"&gt;"&amp;0,tbLancamentos[Momento do retorno],""),0))</f>
        <v/>
      </c>
    </row>
    <row r="305" spans="2:12" ht="20.100000000000001" customHeight="1" x14ac:dyDescent="0.25">
      <c r="B305" s="87">
        <v>299</v>
      </c>
      <c r="C305" s="88"/>
      <c r="D305" s="74"/>
      <c r="E305" s="74"/>
      <c r="F305" s="84" t="str">
        <f t="shared" si="4"/>
        <v/>
      </c>
      <c r="G305" s="89" t="str">
        <f>IF(F305="","",VLOOKUP($C305,CadSet!$C$7:$E$26,2,FALSE))</f>
        <v/>
      </c>
      <c r="H305" s="90" t="str">
        <f>IF(G305="","",VLOOKUP($C305,CadSet!$C$7:$E$26,3,FALSE))</f>
        <v/>
      </c>
      <c r="I305" s="91" t="str">
        <f>IF(F305="","",COUNTIFS(tbLancamentos[Equipamento],F305,tbLancamentos[Momento da falha],"&gt;="&amp;Res!$C$9,tbLancamentos[Momento da falha],"&lt;"&amp;Res!$O$9)+K305)</f>
        <v/>
      </c>
      <c r="J305" s="83" t="str">
        <f>IF(F305="","",SUMIFS(tbLancamentos[Tempo indisponível],tbLancamentos[Equipamento],F305,tbLancamentos[Momento da falha],"&gt;="&amp;Res!$C$9,tbLancamentos[Momento da falha],"&lt;"&amp;Res!$O$9)+K305)</f>
        <v/>
      </c>
      <c r="K305" s="79">
        <v>9.7019999999997496E-5</v>
      </c>
      <c r="L305" s="71" t="str">
        <f>IF(F305="","",IFERROR(COUNTIFS(tbLancamentos[Equipamento],F305,tbLancamentos[Momento da falha],"&gt;"&amp;0,tbLancamentos[Momento do retorno],""),0))</f>
        <v/>
      </c>
    </row>
    <row r="306" spans="2:12" ht="20.100000000000001" customHeight="1" x14ac:dyDescent="0.25">
      <c r="B306" s="87">
        <v>300</v>
      </c>
      <c r="C306" s="88"/>
      <c r="D306" s="74"/>
      <c r="E306" s="74"/>
      <c r="F306" s="84" t="str">
        <f t="shared" si="4"/>
        <v/>
      </c>
      <c r="G306" s="89" t="str">
        <f>IF(F306="","",VLOOKUP($C306,CadSet!$C$7:$E$26,2,FALSE))</f>
        <v/>
      </c>
      <c r="H306" s="90" t="str">
        <f>IF(G306="","",VLOOKUP($C306,CadSet!$C$7:$E$26,3,FALSE))</f>
        <v/>
      </c>
      <c r="I306" s="91" t="str">
        <f>IF(F306="","",COUNTIFS(tbLancamentos[Equipamento],F306,tbLancamentos[Momento da falha],"&gt;="&amp;Res!$C$9,tbLancamentos[Momento da falha],"&lt;"&amp;Res!$O$9)+K306)</f>
        <v/>
      </c>
      <c r="J306" s="83" t="str">
        <f>IF(F306="","",SUMIFS(tbLancamentos[Tempo indisponível],tbLancamentos[Equipamento],F306,tbLancamentos[Momento da falha],"&gt;="&amp;Res!$C$9,tbLancamentos[Momento da falha],"&lt;"&amp;Res!$O$9)+K306)</f>
        <v/>
      </c>
      <c r="K306" s="79">
        <v>9.7009999999997501E-5</v>
      </c>
      <c r="L306" s="71" t="str">
        <f>IF(F306="","",IFERROR(COUNTIFS(tbLancamentos[Equipamento],F306,tbLancamentos[Momento da falha],"&gt;"&amp;0,tbLancamentos[Momento do retorno],""),0))</f>
        <v/>
      </c>
    </row>
    <row r="307" spans="2:12" ht="20.100000000000001" customHeight="1" x14ac:dyDescent="0.25">
      <c r="B307" s="87">
        <v>301</v>
      </c>
      <c r="C307" s="88"/>
      <c r="D307" s="74"/>
      <c r="E307" s="74"/>
      <c r="F307" s="84" t="str">
        <f t="shared" si="4"/>
        <v/>
      </c>
      <c r="G307" s="89" t="str">
        <f>IF(F307="","",VLOOKUP($C307,CadSet!$C$7:$E$26,2,FALSE))</f>
        <v/>
      </c>
      <c r="H307" s="90" t="str">
        <f>IF(G307="","",VLOOKUP($C307,CadSet!$C$7:$E$26,3,FALSE))</f>
        <v/>
      </c>
      <c r="I307" s="91" t="str">
        <f>IF(F307="","",COUNTIFS(tbLancamentos[Equipamento],F307,tbLancamentos[Momento da falha],"&gt;="&amp;Res!$C$9,tbLancamentos[Momento da falha],"&lt;"&amp;Res!$O$9)+K307)</f>
        <v/>
      </c>
      <c r="J307" s="83" t="str">
        <f>IF(F307="","",SUMIFS(tbLancamentos[Tempo indisponível],tbLancamentos[Equipamento],F307,tbLancamentos[Momento da falha],"&gt;="&amp;Res!$C$9,tbLancamentos[Momento da falha],"&lt;"&amp;Res!$O$9)+K307)</f>
        <v/>
      </c>
      <c r="K307" s="79">
        <v>9.6999999999997506E-5</v>
      </c>
      <c r="L307" s="71" t="str">
        <f>IF(F307="","",IFERROR(COUNTIFS(tbLancamentos[Equipamento],F307,tbLancamentos[Momento da falha],"&gt;"&amp;0,tbLancamentos[Momento do retorno],""),0))</f>
        <v/>
      </c>
    </row>
    <row r="308" spans="2:12" ht="20.100000000000001" customHeight="1" x14ac:dyDescent="0.25">
      <c r="B308" s="87">
        <v>302</v>
      </c>
      <c r="C308" s="88"/>
      <c r="D308" s="74"/>
      <c r="E308" s="74"/>
      <c r="F308" s="84" t="str">
        <f t="shared" si="4"/>
        <v/>
      </c>
      <c r="G308" s="89" t="str">
        <f>IF(F308="","",VLOOKUP($C308,CadSet!$C$7:$E$26,2,FALSE))</f>
        <v/>
      </c>
      <c r="H308" s="90" t="str">
        <f>IF(G308="","",VLOOKUP($C308,CadSet!$C$7:$E$26,3,FALSE))</f>
        <v/>
      </c>
      <c r="I308" s="91" t="str">
        <f>IF(F308="","",COUNTIFS(tbLancamentos[Equipamento],F308,tbLancamentos[Momento da falha],"&gt;="&amp;Res!$C$9,tbLancamentos[Momento da falha],"&lt;"&amp;Res!$O$9)+K308)</f>
        <v/>
      </c>
      <c r="J308" s="83" t="str">
        <f>IF(F308="","",SUMIFS(tbLancamentos[Tempo indisponível],tbLancamentos[Equipamento],F308,tbLancamentos[Momento da falha],"&gt;="&amp;Res!$C$9,tbLancamentos[Momento da falha],"&lt;"&amp;Res!$O$9)+K308)</f>
        <v/>
      </c>
      <c r="K308" s="79">
        <v>9.6989999999997498E-5</v>
      </c>
      <c r="L308" s="71" t="str">
        <f>IF(F308="","",IFERROR(COUNTIFS(tbLancamentos[Equipamento],F308,tbLancamentos[Momento da falha],"&gt;"&amp;0,tbLancamentos[Momento do retorno],""),0))</f>
        <v/>
      </c>
    </row>
    <row r="309" spans="2:12" ht="20.100000000000001" customHeight="1" x14ac:dyDescent="0.25">
      <c r="B309" s="87">
        <v>303</v>
      </c>
      <c r="C309" s="88"/>
      <c r="D309" s="74"/>
      <c r="E309" s="74"/>
      <c r="F309" s="84" t="str">
        <f t="shared" si="4"/>
        <v/>
      </c>
      <c r="G309" s="89" t="str">
        <f>IF(F309="","",VLOOKUP($C309,CadSet!$C$7:$E$26,2,FALSE))</f>
        <v/>
      </c>
      <c r="H309" s="90" t="str">
        <f>IF(G309="","",VLOOKUP($C309,CadSet!$C$7:$E$26,3,FALSE))</f>
        <v/>
      </c>
      <c r="I309" s="91" t="str">
        <f>IF(F309="","",COUNTIFS(tbLancamentos[Equipamento],F309,tbLancamentos[Momento da falha],"&gt;="&amp;Res!$C$9,tbLancamentos[Momento da falha],"&lt;"&amp;Res!$O$9)+K309)</f>
        <v/>
      </c>
      <c r="J309" s="83" t="str">
        <f>IF(F309="","",SUMIFS(tbLancamentos[Tempo indisponível],tbLancamentos[Equipamento],F309,tbLancamentos[Momento da falha],"&gt;="&amp;Res!$C$9,tbLancamentos[Momento da falha],"&lt;"&amp;Res!$O$9)+K309)</f>
        <v/>
      </c>
      <c r="K309" s="79">
        <v>9.6979999999997503E-5</v>
      </c>
      <c r="L309" s="71" t="str">
        <f>IF(F309="","",IFERROR(COUNTIFS(tbLancamentos[Equipamento],F309,tbLancamentos[Momento da falha],"&gt;"&amp;0,tbLancamentos[Momento do retorno],""),0))</f>
        <v/>
      </c>
    </row>
    <row r="310" spans="2:12" ht="20.100000000000001" customHeight="1" x14ac:dyDescent="0.25">
      <c r="B310" s="87">
        <v>304</v>
      </c>
      <c r="C310" s="88"/>
      <c r="D310" s="74"/>
      <c r="E310" s="74"/>
      <c r="F310" s="84" t="str">
        <f t="shared" si="4"/>
        <v/>
      </c>
      <c r="G310" s="89" t="str">
        <f>IF(F310="","",VLOOKUP($C310,CadSet!$C$7:$E$26,2,FALSE))</f>
        <v/>
      </c>
      <c r="H310" s="90" t="str">
        <f>IF(G310="","",VLOOKUP($C310,CadSet!$C$7:$E$26,3,FALSE))</f>
        <v/>
      </c>
      <c r="I310" s="91" t="str">
        <f>IF(F310="","",COUNTIFS(tbLancamentos[Equipamento],F310,tbLancamentos[Momento da falha],"&gt;="&amp;Res!$C$9,tbLancamentos[Momento da falha],"&lt;"&amp;Res!$O$9)+K310)</f>
        <v/>
      </c>
      <c r="J310" s="83" t="str">
        <f>IF(F310="","",SUMIFS(tbLancamentos[Tempo indisponível],tbLancamentos[Equipamento],F310,tbLancamentos[Momento da falha],"&gt;="&amp;Res!$C$9,tbLancamentos[Momento da falha],"&lt;"&amp;Res!$O$9)+K310)</f>
        <v/>
      </c>
      <c r="K310" s="79">
        <v>9.6969999999997494E-5</v>
      </c>
      <c r="L310" s="71" t="str">
        <f>IF(F310="","",IFERROR(COUNTIFS(tbLancamentos[Equipamento],F310,tbLancamentos[Momento da falha],"&gt;"&amp;0,tbLancamentos[Momento do retorno],""),0))</f>
        <v/>
      </c>
    </row>
    <row r="311" spans="2:12" ht="20.100000000000001" customHeight="1" x14ac:dyDescent="0.25">
      <c r="B311" s="87">
        <v>305</v>
      </c>
      <c r="C311" s="88"/>
      <c r="D311" s="74"/>
      <c r="E311" s="74"/>
      <c r="F311" s="84" t="str">
        <f t="shared" si="4"/>
        <v/>
      </c>
      <c r="G311" s="89" t="str">
        <f>IF(F311="","",VLOOKUP($C311,CadSet!$C$7:$E$26,2,FALSE))</f>
        <v/>
      </c>
      <c r="H311" s="90" t="str">
        <f>IF(G311="","",VLOOKUP($C311,CadSet!$C$7:$E$26,3,FALSE))</f>
        <v/>
      </c>
      <c r="I311" s="91" t="str">
        <f>IF(F311="","",COUNTIFS(tbLancamentos[Equipamento],F311,tbLancamentos[Momento da falha],"&gt;="&amp;Res!$C$9,tbLancamentos[Momento da falha],"&lt;"&amp;Res!$O$9)+K311)</f>
        <v/>
      </c>
      <c r="J311" s="83" t="str">
        <f>IF(F311="","",SUMIFS(tbLancamentos[Tempo indisponível],tbLancamentos[Equipamento],F311,tbLancamentos[Momento da falha],"&gt;="&amp;Res!$C$9,tbLancamentos[Momento da falha],"&lt;"&amp;Res!$O$9)+K311)</f>
        <v/>
      </c>
      <c r="K311" s="79">
        <v>9.69599999999975E-5</v>
      </c>
      <c r="L311" s="71" t="str">
        <f>IF(F311="","",IFERROR(COUNTIFS(tbLancamentos[Equipamento],F311,tbLancamentos[Momento da falha],"&gt;"&amp;0,tbLancamentos[Momento do retorno],""),0))</f>
        <v/>
      </c>
    </row>
    <row r="312" spans="2:12" ht="20.100000000000001" customHeight="1" x14ac:dyDescent="0.25">
      <c r="B312" s="87">
        <v>306</v>
      </c>
      <c r="C312" s="88"/>
      <c r="D312" s="74"/>
      <c r="E312" s="74"/>
      <c r="F312" s="84" t="str">
        <f t="shared" si="4"/>
        <v/>
      </c>
      <c r="G312" s="89" t="str">
        <f>IF(F312="","",VLOOKUP($C312,CadSet!$C$7:$E$26,2,FALSE))</f>
        <v/>
      </c>
      <c r="H312" s="90" t="str">
        <f>IF(G312="","",VLOOKUP($C312,CadSet!$C$7:$E$26,3,FALSE))</f>
        <v/>
      </c>
      <c r="I312" s="91" t="str">
        <f>IF(F312="","",COUNTIFS(tbLancamentos[Equipamento],F312,tbLancamentos[Momento da falha],"&gt;="&amp;Res!$C$9,tbLancamentos[Momento da falha],"&lt;"&amp;Res!$O$9)+K312)</f>
        <v/>
      </c>
      <c r="J312" s="83" t="str">
        <f>IF(F312="","",SUMIFS(tbLancamentos[Tempo indisponível],tbLancamentos[Equipamento],F312,tbLancamentos[Momento da falha],"&gt;="&amp;Res!$C$9,tbLancamentos[Momento da falha],"&lt;"&amp;Res!$O$9)+K312)</f>
        <v/>
      </c>
      <c r="K312" s="79">
        <v>9.6949999999997505E-5</v>
      </c>
      <c r="L312" s="71" t="str">
        <f>IF(F312="","",IFERROR(COUNTIFS(tbLancamentos[Equipamento],F312,tbLancamentos[Momento da falha],"&gt;"&amp;0,tbLancamentos[Momento do retorno],""),0))</f>
        <v/>
      </c>
    </row>
    <row r="313" spans="2:12" ht="20.100000000000001" customHeight="1" x14ac:dyDescent="0.25">
      <c r="B313" s="87">
        <v>307</v>
      </c>
      <c r="C313" s="88"/>
      <c r="D313" s="74"/>
      <c r="E313" s="74"/>
      <c r="F313" s="84" t="str">
        <f t="shared" si="4"/>
        <v/>
      </c>
      <c r="G313" s="89" t="str">
        <f>IF(F313="","",VLOOKUP($C313,CadSet!$C$7:$E$26,2,FALSE))</f>
        <v/>
      </c>
      <c r="H313" s="90" t="str">
        <f>IF(G313="","",VLOOKUP($C313,CadSet!$C$7:$E$26,3,FALSE))</f>
        <v/>
      </c>
      <c r="I313" s="91" t="str">
        <f>IF(F313="","",COUNTIFS(tbLancamentos[Equipamento],F313,tbLancamentos[Momento da falha],"&gt;="&amp;Res!$C$9,tbLancamentos[Momento da falha],"&lt;"&amp;Res!$O$9)+K313)</f>
        <v/>
      </c>
      <c r="J313" s="83" t="str">
        <f>IF(F313="","",SUMIFS(tbLancamentos[Tempo indisponível],tbLancamentos[Equipamento],F313,tbLancamentos[Momento da falha],"&gt;="&amp;Res!$C$9,tbLancamentos[Momento da falha],"&lt;"&amp;Res!$O$9)+K313)</f>
        <v/>
      </c>
      <c r="K313" s="79">
        <v>9.6939999999997402E-5</v>
      </c>
      <c r="L313" s="71" t="str">
        <f>IF(F313="","",IFERROR(COUNTIFS(tbLancamentos[Equipamento],F313,tbLancamentos[Momento da falha],"&gt;"&amp;0,tbLancamentos[Momento do retorno],""),0))</f>
        <v/>
      </c>
    </row>
    <row r="314" spans="2:12" ht="20.100000000000001" customHeight="1" x14ac:dyDescent="0.25">
      <c r="B314" s="87">
        <v>308</v>
      </c>
      <c r="C314" s="88"/>
      <c r="D314" s="74"/>
      <c r="E314" s="74"/>
      <c r="F314" s="84" t="str">
        <f t="shared" si="4"/>
        <v/>
      </c>
      <c r="G314" s="89" t="str">
        <f>IF(F314="","",VLOOKUP($C314,CadSet!$C$7:$E$26,2,FALSE))</f>
        <v/>
      </c>
      <c r="H314" s="90" t="str">
        <f>IF(G314="","",VLOOKUP($C314,CadSet!$C$7:$E$26,3,FALSE))</f>
        <v/>
      </c>
      <c r="I314" s="91" t="str">
        <f>IF(F314="","",COUNTIFS(tbLancamentos[Equipamento],F314,tbLancamentos[Momento da falha],"&gt;="&amp;Res!$C$9,tbLancamentos[Momento da falha],"&lt;"&amp;Res!$O$9)+K314)</f>
        <v/>
      </c>
      <c r="J314" s="83" t="str">
        <f>IF(F314="","",SUMIFS(tbLancamentos[Tempo indisponível],tbLancamentos[Equipamento],F314,tbLancamentos[Momento da falha],"&gt;="&amp;Res!$C$9,tbLancamentos[Momento da falha],"&lt;"&amp;Res!$O$9)+K314)</f>
        <v/>
      </c>
      <c r="K314" s="79">
        <v>9.6929999999997407E-5</v>
      </c>
      <c r="L314" s="71" t="str">
        <f>IF(F314="","",IFERROR(COUNTIFS(tbLancamentos[Equipamento],F314,tbLancamentos[Momento da falha],"&gt;"&amp;0,tbLancamentos[Momento do retorno],""),0))</f>
        <v/>
      </c>
    </row>
    <row r="315" spans="2:12" ht="20.100000000000001" customHeight="1" x14ac:dyDescent="0.25">
      <c r="B315" s="87">
        <v>309</v>
      </c>
      <c r="C315" s="88"/>
      <c r="D315" s="74"/>
      <c r="E315" s="74"/>
      <c r="F315" s="84" t="str">
        <f t="shared" si="4"/>
        <v/>
      </c>
      <c r="G315" s="89" t="str">
        <f>IF(F315="","",VLOOKUP($C315,CadSet!$C$7:$E$26,2,FALSE))</f>
        <v/>
      </c>
      <c r="H315" s="90" t="str">
        <f>IF(G315="","",VLOOKUP($C315,CadSet!$C$7:$E$26,3,FALSE))</f>
        <v/>
      </c>
      <c r="I315" s="91" t="str">
        <f>IF(F315="","",COUNTIFS(tbLancamentos[Equipamento],F315,tbLancamentos[Momento da falha],"&gt;="&amp;Res!$C$9,tbLancamentos[Momento da falha],"&lt;"&amp;Res!$O$9)+K315)</f>
        <v/>
      </c>
      <c r="J315" s="83" t="str">
        <f>IF(F315="","",SUMIFS(tbLancamentos[Tempo indisponível],tbLancamentos[Equipamento],F315,tbLancamentos[Momento da falha],"&gt;="&amp;Res!$C$9,tbLancamentos[Momento da falha],"&lt;"&amp;Res!$O$9)+K315)</f>
        <v/>
      </c>
      <c r="K315" s="79">
        <v>9.6919999999997398E-5</v>
      </c>
      <c r="L315" s="71" t="str">
        <f>IF(F315="","",IFERROR(COUNTIFS(tbLancamentos[Equipamento],F315,tbLancamentos[Momento da falha],"&gt;"&amp;0,tbLancamentos[Momento do retorno],""),0))</f>
        <v/>
      </c>
    </row>
    <row r="316" spans="2:12" ht="20.100000000000001" customHeight="1" x14ac:dyDescent="0.25">
      <c r="B316" s="87">
        <v>310</v>
      </c>
      <c r="C316" s="88"/>
      <c r="D316" s="74"/>
      <c r="E316" s="74"/>
      <c r="F316" s="84" t="str">
        <f t="shared" si="4"/>
        <v/>
      </c>
      <c r="G316" s="89" t="str">
        <f>IF(F316="","",VLOOKUP($C316,CadSet!$C$7:$E$26,2,FALSE))</f>
        <v/>
      </c>
      <c r="H316" s="90" t="str">
        <f>IF(G316="","",VLOOKUP($C316,CadSet!$C$7:$E$26,3,FALSE))</f>
        <v/>
      </c>
      <c r="I316" s="91" t="str">
        <f>IF(F316="","",COUNTIFS(tbLancamentos[Equipamento],F316,tbLancamentos[Momento da falha],"&gt;="&amp;Res!$C$9,tbLancamentos[Momento da falha],"&lt;"&amp;Res!$O$9)+K316)</f>
        <v/>
      </c>
      <c r="J316" s="83" t="str">
        <f>IF(F316="","",SUMIFS(tbLancamentos[Tempo indisponível],tbLancamentos[Equipamento],F316,tbLancamentos[Momento da falha],"&gt;="&amp;Res!$C$9,tbLancamentos[Momento da falha],"&lt;"&amp;Res!$O$9)+K316)</f>
        <v/>
      </c>
      <c r="K316" s="79">
        <v>9.6909999999997403E-5</v>
      </c>
      <c r="L316" s="71" t="str">
        <f>IF(F316="","",IFERROR(COUNTIFS(tbLancamentos[Equipamento],F316,tbLancamentos[Momento da falha],"&gt;"&amp;0,tbLancamentos[Momento do retorno],""),0))</f>
        <v/>
      </c>
    </row>
    <row r="317" spans="2:12" ht="20.100000000000001" customHeight="1" x14ac:dyDescent="0.25">
      <c r="B317" s="87">
        <v>311</v>
      </c>
      <c r="C317" s="88"/>
      <c r="D317" s="74"/>
      <c r="E317" s="74"/>
      <c r="F317" s="84" t="str">
        <f t="shared" si="4"/>
        <v/>
      </c>
      <c r="G317" s="89" t="str">
        <f>IF(F317="","",VLOOKUP($C317,CadSet!$C$7:$E$26,2,FALSE))</f>
        <v/>
      </c>
      <c r="H317" s="90" t="str">
        <f>IF(G317="","",VLOOKUP($C317,CadSet!$C$7:$E$26,3,FALSE))</f>
        <v/>
      </c>
      <c r="I317" s="91" t="str">
        <f>IF(F317="","",COUNTIFS(tbLancamentos[Equipamento],F317,tbLancamentos[Momento da falha],"&gt;="&amp;Res!$C$9,tbLancamentos[Momento da falha],"&lt;"&amp;Res!$O$9)+K317)</f>
        <v/>
      </c>
      <c r="J317" s="83" t="str">
        <f>IF(F317="","",SUMIFS(tbLancamentos[Tempo indisponível],tbLancamentos[Equipamento],F317,tbLancamentos[Momento da falha],"&gt;="&amp;Res!$C$9,tbLancamentos[Momento da falha],"&lt;"&amp;Res!$O$9)+K317)</f>
        <v/>
      </c>
      <c r="K317" s="79">
        <v>9.6899999999997395E-5</v>
      </c>
      <c r="L317" s="71" t="str">
        <f>IF(F317="","",IFERROR(COUNTIFS(tbLancamentos[Equipamento],F317,tbLancamentos[Momento da falha],"&gt;"&amp;0,tbLancamentos[Momento do retorno],""),0))</f>
        <v/>
      </c>
    </row>
    <row r="318" spans="2:12" ht="20.100000000000001" customHeight="1" x14ac:dyDescent="0.25">
      <c r="B318" s="87">
        <v>312</v>
      </c>
      <c r="C318" s="88"/>
      <c r="D318" s="74"/>
      <c r="E318" s="74"/>
      <c r="F318" s="84" t="str">
        <f t="shared" si="4"/>
        <v/>
      </c>
      <c r="G318" s="89" t="str">
        <f>IF(F318="","",VLOOKUP($C318,CadSet!$C$7:$E$26,2,FALSE))</f>
        <v/>
      </c>
      <c r="H318" s="90" t="str">
        <f>IF(G318="","",VLOOKUP($C318,CadSet!$C$7:$E$26,3,FALSE))</f>
        <v/>
      </c>
      <c r="I318" s="91" t="str">
        <f>IF(F318="","",COUNTIFS(tbLancamentos[Equipamento],F318,tbLancamentos[Momento da falha],"&gt;="&amp;Res!$C$9,tbLancamentos[Momento da falha],"&lt;"&amp;Res!$O$9)+K318)</f>
        <v/>
      </c>
      <c r="J318" s="83" t="str">
        <f>IF(F318="","",SUMIFS(tbLancamentos[Tempo indisponível],tbLancamentos[Equipamento],F318,tbLancamentos[Momento da falha],"&gt;="&amp;Res!$C$9,tbLancamentos[Momento da falha],"&lt;"&amp;Res!$O$9)+K318)</f>
        <v/>
      </c>
      <c r="K318" s="79">
        <v>9.68899999999974E-5</v>
      </c>
      <c r="L318" s="71" t="str">
        <f>IF(F318="","",IFERROR(COUNTIFS(tbLancamentos[Equipamento],F318,tbLancamentos[Momento da falha],"&gt;"&amp;0,tbLancamentos[Momento do retorno],""),0))</f>
        <v/>
      </c>
    </row>
    <row r="319" spans="2:12" ht="20.100000000000001" customHeight="1" x14ac:dyDescent="0.25">
      <c r="B319" s="87">
        <v>313</v>
      </c>
      <c r="C319" s="88"/>
      <c r="D319" s="74"/>
      <c r="E319" s="74"/>
      <c r="F319" s="84" t="str">
        <f t="shared" si="4"/>
        <v/>
      </c>
      <c r="G319" s="89" t="str">
        <f>IF(F319="","",VLOOKUP($C319,CadSet!$C$7:$E$26,2,FALSE))</f>
        <v/>
      </c>
      <c r="H319" s="90" t="str">
        <f>IF(G319="","",VLOOKUP($C319,CadSet!$C$7:$E$26,3,FALSE))</f>
        <v/>
      </c>
      <c r="I319" s="91" t="str">
        <f>IF(F319="","",COUNTIFS(tbLancamentos[Equipamento],F319,tbLancamentos[Momento da falha],"&gt;="&amp;Res!$C$9,tbLancamentos[Momento da falha],"&lt;"&amp;Res!$O$9)+K319)</f>
        <v/>
      </c>
      <c r="J319" s="83" t="str">
        <f>IF(F319="","",SUMIFS(tbLancamentos[Tempo indisponível],tbLancamentos[Equipamento],F319,tbLancamentos[Momento da falha],"&gt;="&amp;Res!$C$9,tbLancamentos[Momento da falha],"&lt;"&amp;Res!$O$9)+K319)</f>
        <v/>
      </c>
      <c r="K319" s="79">
        <v>9.6879999999997405E-5</v>
      </c>
      <c r="L319" s="71" t="str">
        <f>IF(F319="","",IFERROR(COUNTIFS(tbLancamentos[Equipamento],F319,tbLancamentos[Momento da falha],"&gt;"&amp;0,tbLancamentos[Momento do retorno],""),0))</f>
        <v/>
      </c>
    </row>
    <row r="320" spans="2:12" ht="20.100000000000001" customHeight="1" x14ac:dyDescent="0.25">
      <c r="B320" s="87">
        <v>314</v>
      </c>
      <c r="C320" s="88"/>
      <c r="D320" s="74"/>
      <c r="E320" s="74"/>
      <c r="F320" s="84" t="str">
        <f t="shared" si="4"/>
        <v/>
      </c>
      <c r="G320" s="89" t="str">
        <f>IF(F320="","",VLOOKUP($C320,CadSet!$C$7:$E$26,2,FALSE))</f>
        <v/>
      </c>
      <c r="H320" s="90" t="str">
        <f>IF(G320="","",VLOOKUP($C320,CadSet!$C$7:$E$26,3,FALSE))</f>
        <v/>
      </c>
      <c r="I320" s="91" t="str">
        <f>IF(F320="","",COUNTIFS(tbLancamentos[Equipamento],F320,tbLancamentos[Momento da falha],"&gt;="&amp;Res!$C$9,tbLancamentos[Momento da falha],"&lt;"&amp;Res!$O$9)+K320)</f>
        <v/>
      </c>
      <c r="J320" s="83" t="str">
        <f>IF(F320="","",SUMIFS(tbLancamentos[Tempo indisponível],tbLancamentos[Equipamento],F320,tbLancamentos[Momento da falha],"&gt;="&amp;Res!$C$9,tbLancamentos[Momento da falha],"&lt;"&amp;Res!$O$9)+K320)</f>
        <v/>
      </c>
      <c r="K320" s="79">
        <v>9.6869999999997397E-5</v>
      </c>
      <c r="L320" s="71" t="str">
        <f>IF(F320="","",IFERROR(COUNTIFS(tbLancamentos[Equipamento],F320,tbLancamentos[Momento da falha],"&gt;"&amp;0,tbLancamentos[Momento do retorno],""),0))</f>
        <v/>
      </c>
    </row>
    <row r="321" spans="2:12" ht="20.100000000000001" customHeight="1" x14ac:dyDescent="0.25">
      <c r="B321" s="87">
        <v>315</v>
      </c>
      <c r="C321" s="88"/>
      <c r="D321" s="74"/>
      <c r="E321" s="74"/>
      <c r="F321" s="84" t="str">
        <f t="shared" si="4"/>
        <v/>
      </c>
      <c r="G321" s="89" t="str">
        <f>IF(F321="","",VLOOKUP($C321,CadSet!$C$7:$E$26,2,FALSE))</f>
        <v/>
      </c>
      <c r="H321" s="90" t="str">
        <f>IF(G321="","",VLOOKUP($C321,CadSet!$C$7:$E$26,3,FALSE))</f>
        <v/>
      </c>
      <c r="I321" s="91" t="str">
        <f>IF(F321="","",COUNTIFS(tbLancamentos[Equipamento],F321,tbLancamentos[Momento da falha],"&gt;="&amp;Res!$C$9,tbLancamentos[Momento da falha],"&lt;"&amp;Res!$O$9)+K321)</f>
        <v/>
      </c>
      <c r="J321" s="83" t="str">
        <f>IF(F321="","",SUMIFS(tbLancamentos[Tempo indisponível],tbLancamentos[Equipamento],F321,tbLancamentos[Momento da falha],"&gt;="&amp;Res!$C$9,tbLancamentos[Momento da falha],"&lt;"&amp;Res!$O$9)+K321)</f>
        <v/>
      </c>
      <c r="K321" s="79">
        <v>9.6859999999997402E-5</v>
      </c>
      <c r="L321" s="71" t="str">
        <f>IF(F321="","",IFERROR(COUNTIFS(tbLancamentos[Equipamento],F321,tbLancamentos[Momento da falha],"&gt;"&amp;0,tbLancamentos[Momento do retorno],""),0))</f>
        <v/>
      </c>
    </row>
    <row r="322" spans="2:12" ht="20.100000000000001" customHeight="1" x14ac:dyDescent="0.25">
      <c r="B322" s="87">
        <v>316</v>
      </c>
      <c r="C322" s="88"/>
      <c r="D322" s="74"/>
      <c r="E322" s="74"/>
      <c r="F322" s="84" t="str">
        <f t="shared" si="4"/>
        <v/>
      </c>
      <c r="G322" s="89" t="str">
        <f>IF(F322="","",VLOOKUP($C322,CadSet!$C$7:$E$26,2,FALSE))</f>
        <v/>
      </c>
      <c r="H322" s="90" t="str">
        <f>IF(G322="","",VLOOKUP($C322,CadSet!$C$7:$E$26,3,FALSE))</f>
        <v/>
      </c>
      <c r="I322" s="91" t="str">
        <f>IF(F322="","",COUNTIFS(tbLancamentos[Equipamento],F322,tbLancamentos[Momento da falha],"&gt;="&amp;Res!$C$9,tbLancamentos[Momento da falha],"&lt;"&amp;Res!$O$9)+K322)</f>
        <v/>
      </c>
      <c r="J322" s="83" t="str">
        <f>IF(F322="","",SUMIFS(tbLancamentos[Tempo indisponível],tbLancamentos[Equipamento],F322,tbLancamentos[Momento da falha],"&gt;="&amp;Res!$C$9,tbLancamentos[Momento da falha],"&lt;"&amp;Res!$O$9)+K322)</f>
        <v/>
      </c>
      <c r="K322" s="79">
        <v>9.6849999999997394E-5</v>
      </c>
      <c r="L322" s="71" t="str">
        <f>IF(F322="","",IFERROR(COUNTIFS(tbLancamentos[Equipamento],F322,tbLancamentos[Momento da falha],"&gt;"&amp;0,tbLancamentos[Momento do retorno],""),0))</f>
        <v/>
      </c>
    </row>
    <row r="323" spans="2:12" ht="20.100000000000001" customHeight="1" x14ac:dyDescent="0.25">
      <c r="B323" s="87">
        <v>317</v>
      </c>
      <c r="C323" s="88"/>
      <c r="D323" s="74"/>
      <c r="E323" s="74"/>
      <c r="F323" s="84" t="str">
        <f t="shared" si="4"/>
        <v/>
      </c>
      <c r="G323" s="89" t="str">
        <f>IF(F323="","",VLOOKUP($C323,CadSet!$C$7:$E$26,2,FALSE))</f>
        <v/>
      </c>
      <c r="H323" s="90" t="str">
        <f>IF(G323="","",VLOOKUP($C323,CadSet!$C$7:$E$26,3,FALSE))</f>
        <v/>
      </c>
      <c r="I323" s="91" t="str">
        <f>IF(F323="","",COUNTIFS(tbLancamentos[Equipamento],F323,tbLancamentos[Momento da falha],"&gt;="&amp;Res!$C$9,tbLancamentos[Momento da falha],"&lt;"&amp;Res!$O$9)+K323)</f>
        <v/>
      </c>
      <c r="J323" s="83" t="str">
        <f>IF(F323="","",SUMIFS(tbLancamentos[Tempo indisponível],tbLancamentos[Equipamento],F323,tbLancamentos[Momento da falha],"&gt;="&amp;Res!$C$9,tbLancamentos[Momento da falha],"&lt;"&amp;Res!$O$9)+K323)</f>
        <v/>
      </c>
      <c r="K323" s="79">
        <v>9.6839999999997399E-5</v>
      </c>
      <c r="L323" s="71" t="str">
        <f>IF(F323="","",IFERROR(COUNTIFS(tbLancamentos[Equipamento],F323,tbLancamentos[Momento da falha],"&gt;"&amp;0,tbLancamentos[Momento do retorno],""),0))</f>
        <v/>
      </c>
    </row>
    <row r="324" spans="2:12" ht="20.100000000000001" customHeight="1" x14ac:dyDescent="0.25">
      <c r="B324" s="87">
        <v>318</v>
      </c>
      <c r="C324" s="88"/>
      <c r="D324" s="74"/>
      <c r="E324" s="74"/>
      <c r="F324" s="84" t="str">
        <f t="shared" si="4"/>
        <v/>
      </c>
      <c r="G324" s="89" t="str">
        <f>IF(F324="","",VLOOKUP($C324,CadSet!$C$7:$E$26,2,FALSE))</f>
        <v/>
      </c>
      <c r="H324" s="90" t="str">
        <f>IF(G324="","",VLOOKUP($C324,CadSet!$C$7:$E$26,3,FALSE))</f>
        <v/>
      </c>
      <c r="I324" s="91" t="str">
        <f>IF(F324="","",COUNTIFS(tbLancamentos[Equipamento],F324,tbLancamentos[Momento da falha],"&gt;="&amp;Res!$C$9,tbLancamentos[Momento da falha],"&lt;"&amp;Res!$O$9)+K324)</f>
        <v/>
      </c>
      <c r="J324" s="83" t="str">
        <f>IF(F324="","",SUMIFS(tbLancamentos[Tempo indisponível],tbLancamentos[Equipamento],F324,tbLancamentos[Momento da falha],"&gt;="&amp;Res!$C$9,tbLancamentos[Momento da falha],"&lt;"&amp;Res!$O$9)+K324)</f>
        <v/>
      </c>
      <c r="K324" s="79">
        <v>9.6829999999997404E-5</v>
      </c>
      <c r="L324" s="71" t="str">
        <f>IF(F324="","",IFERROR(COUNTIFS(tbLancamentos[Equipamento],F324,tbLancamentos[Momento da falha],"&gt;"&amp;0,tbLancamentos[Momento do retorno],""),0))</f>
        <v/>
      </c>
    </row>
    <row r="325" spans="2:12" ht="20.100000000000001" customHeight="1" x14ac:dyDescent="0.25">
      <c r="B325" s="87">
        <v>319</v>
      </c>
      <c r="C325" s="88"/>
      <c r="D325" s="74"/>
      <c r="E325" s="74"/>
      <c r="F325" s="84" t="str">
        <f t="shared" si="4"/>
        <v/>
      </c>
      <c r="G325" s="89" t="str">
        <f>IF(F325="","",VLOOKUP($C325,CadSet!$C$7:$E$26,2,FALSE))</f>
        <v/>
      </c>
      <c r="H325" s="90" t="str">
        <f>IF(G325="","",VLOOKUP($C325,CadSet!$C$7:$E$26,3,FALSE))</f>
        <v/>
      </c>
      <c r="I325" s="91" t="str">
        <f>IF(F325="","",COUNTIFS(tbLancamentos[Equipamento],F325,tbLancamentos[Momento da falha],"&gt;="&amp;Res!$C$9,tbLancamentos[Momento da falha],"&lt;"&amp;Res!$O$9)+K325)</f>
        <v/>
      </c>
      <c r="J325" s="83" t="str">
        <f>IF(F325="","",SUMIFS(tbLancamentos[Tempo indisponível],tbLancamentos[Equipamento],F325,tbLancamentos[Momento da falha],"&gt;="&amp;Res!$C$9,tbLancamentos[Momento da falha],"&lt;"&amp;Res!$O$9)+K325)</f>
        <v/>
      </c>
      <c r="K325" s="79">
        <v>9.6819999999997301E-5</v>
      </c>
      <c r="L325" s="71" t="str">
        <f>IF(F325="","",IFERROR(COUNTIFS(tbLancamentos[Equipamento],F325,tbLancamentos[Momento da falha],"&gt;"&amp;0,tbLancamentos[Momento do retorno],""),0))</f>
        <v/>
      </c>
    </row>
    <row r="326" spans="2:12" ht="20.100000000000001" customHeight="1" x14ac:dyDescent="0.25">
      <c r="B326" s="87">
        <v>320</v>
      </c>
      <c r="C326" s="88"/>
      <c r="D326" s="74"/>
      <c r="E326" s="74"/>
      <c r="F326" s="84" t="str">
        <f t="shared" si="4"/>
        <v/>
      </c>
      <c r="G326" s="89" t="str">
        <f>IF(F326="","",VLOOKUP($C326,CadSet!$C$7:$E$26,2,FALSE))</f>
        <v/>
      </c>
      <c r="H326" s="90" t="str">
        <f>IF(G326="","",VLOOKUP($C326,CadSet!$C$7:$E$26,3,FALSE))</f>
        <v/>
      </c>
      <c r="I326" s="91" t="str">
        <f>IF(F326="","",COUNTIFS(tbLancamentos[Equipamento],F326,tbLancamentos[Momento da falha],"&gt;="&amp;Res!$C$9,tbLancamentos[Momento da falha],"&lt;"&amp;Res!$O$9)+K326)</f>
        <v/>
      </c>
      <c r="J326" s="83" t="str">
        <f>IF(F326="","",SUMIFS(tbLancamentos[Tempo indisponível],tbLancamentos[Equipamento],F326,tbLancamentos[Momento da falha],"&gt;="&amp;Res!$C$9,tbLancamentos[Momento da falha],"&lt;"&amp;Res!$O$9)+K326)</f>
        <v/>
      </c>
      <c r="K326" s="79">
        <v>9.6809999999997306E-5</v>
      </c>
      <c r="L326" s="71" t="str">
        <f>IF(F326="","",IFERROR(COUNTIFS(tbLancamentos[Equipamento],F326,tbLancamentos[Momento da falha],"&gt;"&amp;0,tbLancamentos[Momento do retorno],""),0))</f>
        <v/>
      </c>
    </row>
    <row r="327" spans="2:12" ht="20.100000000000001" customHeight="1" x14ac:dyDescent="0.25">
      <c r="B327" s="87">
        <v>321</v>
      </c>
      <c r="C327" s="88"/>
      <c r="D327" s="74"/>
      <c r="E327" s="74"/>
      <c r="F327" s="84" t="str">
        <f t="shared" si="4"/>
        <v/>
      </c>
      <c r="G327" s="89" t="str">
        <f>IF(F327="","",VLOOKUP($C327,CadSet!$C$7:$E$26,2,FALSE))</f>
        <v/>
      </c>
      <c r="H327" s="90" t="str">
        <f>IF(G327="","",VLOOKUP($C327,CadSet!$C$7:$E$26,3,FALSE))</f>
        <v/>
      </c>
      <c r="I327" s="91" t="str">
        <f>IF(F327="","",COUNTIFS(tbLancamentos[Equipamento],F327,tbLancamentos[Momento da falha],"&gt;="&amp;Res!$C$9,tbLancamentos[Momento da falha],"&lt;"&amp;Res!$O$9)+K327)</f>
        <v/>
      </c>
      <c r="J327" s="83" t="str">
        <f>IF(F327="","",SUMIFS(tbLancamentos[Tempo indisponível],tbLancamentos[Equipamento],F327,tbLancamentos[Momento da falha],"&gt;="&amp;Res!$C$9,tbLancamentos[Momento da falha],"&lt;"&amp;Res!$O$9)+K327)</f>
        <v/>
      </c>
      <c r="K327" s="79">
        <v>9.6799999999997298E-5</v>
      </c>
      <c r="L327" s="71" t="str">
        <f>IF(F327="","",IFERROR(COUNTIFS(tbLancamentos[Equipamento],F327,tbLancamentos[Momento da falha],"&gt;"&amp;0,tbLancamentos[Momento do retorno],""),0))</f>
        <v/>
      </c>
    </row>
    <row r="328" spans="2:12" ht="20.100000000000001" customHeight="1" x14ac:dyDescent="0.25">
      <c r="B328" s="87">
        <v>322</v>
      </c>
      <c r="C328" s="88"/>
      <c r="D328" s="74"/>
      <c r="E328" s="74"/>
      <c r="F328" s="84" t="str">
        <f t="shared" ref="F328:F391" si="5">IF(AND(C328&lt;&gt;"",D328&lt;&gt;""),C328&amp;" - "&amp;D328,"")</f>
        <v/>
      </c>
      <c r="G328" s="89" t="str">
        <f>IF(F328="","",VLOOKUP($C328,CadSet!$C$7:$E$26,2,FALSE))</f>
        <v/>
      </c>
      <c r="H328" s="90" t="str">
        <f>IF(G328="","",VLOOKUP($C328,CadSet!$C$7:$E$26,3,FALSE))</f>
        <v/>
      </c>
      <c r="I328" s="91" t="str">
        <f>IF(F328="","",COUNTIFS(tbLancamentos[Equipamento],F328,tbLancamentos[Momento da falha],"&gt;="&amp;Res!$C$9,tbLancamentos[Momento da falha],"&lt;"&amp;Res!$O$9)+K328)</f>
        <v/>
      </c>
      <c r="J328" s="83" t="str">
        <f>IF(F328="","",SUMIFS(tbLancamentos[Tempo indisponível],tbLancamentos[Equipamento],F328,tbLancamentos[Momento da falha],"&gt;="&amp;Res!$C$9,tbLancamentos[Momento da falha],"&lt;"&amp;Res!$O$9)+K328)</f>
        <v/>
      </c>
      <c r="K328" s="79">
        <v>9.6789999999997303E-5</v>
      </c>
      <c r="L328" s="71" t="str">
        <f>IF(F328="","",IFERROR(COUNTIFS(tbLancamentos[Equipamento],F328,tbLancamentos[Momento da falha],"&gt;"&amp;0,tbLancamentos[Momento do retorno],""),0))</f>
        <v/>
      </c>
    </row>
    <row r="329" spans="2:12" ht="20.100000000000001" customHeight="1" x14ac:dyDescent="0.25">
      <c r="B329" s="87">
        <v>323</v>
      </c>
      <c r="C329" s="88"/>
      <c r="D329" s="74"/>
      <c r="E329" s="74"/>
      <c r="F329" s="84" t="str">
        <f t="shared" si="5"/>
        <v/>
      </c>
      <c r="G329" s="89" t="str">
        <f>IF(F329="","",VLOOKUP($C329,CadSet!$C$7:$E$26,2,FALSE))</f>
        <v/>
      </c>
      <c r="H329" s="90" t="str">
        <f>IF(G329="","",VLOOKUP($C329,CadSet!$C$7:$E$26,3,FALSE))</f>
        <v/>
      </c>
      <c r="I329" s="91" t="str">
        <f>IF(F329="","",COUNTIFS(tbLancamentos[Equipamento],F329,tbLancamentos[Momento da falha],"&gt;="&amp;Res!$C$9,tbLancamentos[Momento da falha],"&lt;"&amp;Res!$O$9)+K329)</f>
        <v/>
      </c>
      <c r="J329" s="83" t="str">
        <f>IF(F329="","",SUMIFS(tbLancamentos[Tempo indisponível],tbLancamentos[Equipamento],F329,tbLancamentos[Momento da falha],"&gt;="&amp;Res!$C$9,tbLancamentos[Momento da falha],"&lt;"&amp;Res!$O$9)+K329)</f>
        <v/>
      </c>
      <c r="K329" s="79">
        <v>9.6779999999997295E-5</v>
      </c>
      <c r="L329" s="71" t="str">
        <f>IF(F329="","",IFERROR(COUNTIFS(tbLancamentos[Equipamento],F329,tbLancamentos[Momento da falha],"&gt;"&amp;0,tbLancamentos[Momento do retorno],""),0))</f>
        <v/>
      </c>
    </row>
    <row r="330" spans="2:12" ht="20.100000000000001" customHeight="1" x14ac:dyDescent="0.25">
      <c r="B330" s="87">
        <v>324</v>
      </c>
      <c r="C330" s="88"/>
      <c r="D330" s="74"/>
      <c r="E330" s="74"/>
      <c r="F330" s="84" t="str">
        <f t="shared" si="5"/>
        <v/>
      </c>
      <c r="G330" s="89" t="str">
        <f>IF(F330="","",VLOOKUP($C330,CadSet!$C$7:$E$26,2,FALSE))</f>
        <v/>
      </c>
      <c r="H330" s="90" t="str">
        <f>IF(G330="","",VLOOKUP($C330,CadSet!$C$7:$E$26,3,FALSE))</f>
        <v/>
      </c>
      <c r="I330" s="91" t="str">
        <f>IF(F330="","",COUNTIFS(tbLancamentos[Equipamento],F330,tbLancamentos[Momento da falha],"&gt;="&amp;Res!$C$9,tbLancamentos[Momento da falha],"&lt;"&amp;Res!$O$9)+K330)</f>
        <v/>
      </c>
      <c r="J330" s="83" t="str">
        <f>IF(F330="","",SUMIFS(tbLancamentos[Tempo indisponível],tbLancamentos[Equipamento],F330,tbLancamentos[Momento da falha],"&gt;="&amp;Res!$C$9,tbLancamentos[Momento da falha],"&lt;"&amp;Res!$O$9)+K330)</f>
        <v/>
      </c>
      <c r="K330" s="79">
        <v>9.67699999999973E-5</v>
      </c>
      <c r="L330" s="71" t="str">
        <f>IF(F330="","",IFERROR(COUNTIFS(tbLancamentos[Equipamento],F330,tbLancamentos[Momento da falha],"&gt;"&amp;0,tbLancamentos[Momento do retorno],""),0))</f>
        <v/>
      </c>
    </row>
    <row r="331" spans="2:12" ht="20.100000000000001" customHeight="1" x14ac:dyDescent="0.25">
      <c r="B331" s="87">
        <v>325</v>
      </c>
      <c r="C331" s="88"/>
      <c r="D331" s="74"/>
      <c r="E331" s="74"/>
      <c r="F331" s="84" t="str">
        <f t="shared" si="5"/>
        <v/>
      </c>
      <c r="G331" s="89" t="str">
        <f>IF(F331="","",VLOOKUP($C331,CadSet!$C$7:$E$26,2,FALSE))</f>
        <v/>
      </c>
      <c r="H331" s="90" t="str">
        <f>IF(G331="","",VLOOKUP($C331,CadSet!$C$7:$E$26,3,FALSE))</f>
        <v/>
      </c>
      <c r="I331" s="91" t="str">
        <f>IF(F331="","",COUNTIFS(tbLancamentos[Equipamento],F331,tbLancamentos[Momento da falha],"&gt;="&amp;Res!$C$9,tbLancamentos[Momento da falha],"&lt;"&amp;Res!$O$9)+K331)</f>
        <v/>
      </c>
      <c r="J331" s="83" t="str">
        <f>IF(F331="","",SUMIFS(tbLancamentos[Tempo indisponível],tbLancamentos[Equipamento],F331,tbLancamentos[Momento da falha],"&gt;="&amp;Res!$C$9,tbLancamentos[Momento da falha],"&lt;"&amp;Res!$O$9)+K331)</f>
        <v/>
      </c>
      <c r="K331" s="79">
        <v>9.6759999999997305E-5</v>
      </c>
      <c r="L331" s="71" t="str">
        <f>IF(F331="","",IFERROR(COUNTIFS(tbLancamentos[Equipamento],F331,tbLancamentos[Momento da falha],"&gt;"&amp;0,tbLancamentos[Momento do retorno],""),0))</f>
        <v/>
      </c>
    </row>
    <row r="332" spans="2:12" ht="20.100000000000001" customHeight="1" x14ac:dyDescent="0.25">
      <c r="B332" s="87">
        <v>326</v>
      </c>
      <c r="C332" s="88"/>
      <c r="D332" s="74"/>
      <c r="E332" s="74"/>
      <c r="F332" s="84" t="str">
        <f t="shared" si="5"/>
        <v/>
      </c>
      <c r="G332" s="89" t="str">
        <f>IF(F332="","",VLOOKUP($C332,CadSet!$C$7:$E$26,2,FALSE))</f>
        <v/>
      </c>
      <c r="H332" s="90" t="str">
        <f>IF(G332="","",VLOOKUP($C332,CadSet!$C$7:$E$26,3,FALSE))</f>
        <v/>
      </c>
      <c r="I332" s="91" t="str">
        <f>IF(F332="","",COUNTIFS(tbLancamentos[Equipamento],F332,tbLancamentos[Momento da falha],"&gt;="&amp;Res!$C$9,tbLancamentos[Momento da falha],"&lt;"&amp;Res!$O$9)+K332)</f>
        <v/>
      </c>
      <c r="J332" s="83" t="str">
        <f>IF(F332="","",SUMIFS(tbLancamentos[Tempo indisponível],tbLancamentos[Equipamento],F332,tbLancamentos[Momento da falha],"&gt;="&amp;Res!$C$9,tbLancamentos[Momento da falha],"&lt;"&amp;Res!$O$9)+K332)</f>
        <v/>
      </c>
      <c r="K332" s="79">
        <v>9.6749999999997297E-5</v>
      </c>
      <c r="L332" s="71" t="str">
        <f>IF(F332="","",IFERROR(COUNTIFS(tbLancamentos[Equipamento],F332,tbLancamentos[Momento da falha],"&gt;"&amp;0,tbLancamentos[Momento do retorno],""),0))</f>
        <v/>
      </c>
    </row>
    <row r="333" spans="2:12" ht="20.100000000000001" customHeight="1" x14ac:dyDescent="0.25">
      <c r="B333" s="87">
        <v>327</v>
      </c>
      <c r="C333" s="88"/>
      <c r="D333" s="74"/>
      <c r="E333" s="74"/>
      <c r="F333" s="84" t="str">
        <f t="shared" si="5"/>
        <v/>
      </c>
      <c r="G333" s="89" t="str">
        <f>IF(F333="","",VLOOKUP($C333,CadSet!$C$7:$E$26,2,FALSE))</f>
        <v/>
      </c>
      <c r="H333" s="90" t="str">
        <f>IF(G333="","",VLOOKUP($C333,CadSet!$C$7:$E$26,3,FALSE))</f>
        <v/>
      </c>
      <c r="I333" s="91" t="str">
        <f>IF(F333="","",COUNTIFS(tbLancamentos[Equipamento],F333,tbLancamentos[Momento da falha],"&gt;="&amp;Res!$C$9,tbLancamentos[Momento da falha],"&lt;"&amp;Res!$O$9)+K333)</f>
        <v/>
      </c>
      <c r="J333" s="83" t="str">
        <f>IF(F333="","",SUMIFS(tbLancamentos[Tempo indisponível],tbLancamentos[Equipamento],F333,tbLancamentos[Momento da falha],"&gt;="&amp;Res!$C$9,tbLancamentos[Momento da falha],"&lt;"&amp;Res!$O$9)+K333)</f>
        <v/>
      </c>
      <c r="K333" s="79">
        <v>9.6739999999997302E-5</v>
      </c>
      <c r="L333" s="71" t="str">
        <f>IF(F333="","",IFERROR(COUNTIFS(tbLancamentos[Equipamento],F333,tbLancamentos[Momento da falha],"&gt;"&amp;0,tbLancamentos[Momento do retorno],""),0))</f>
        <v/>
      </c>
    </row>
    <row r="334" spans="2:12" ht="20.100000000000001" customHeight="1" x14ac:dyDescent="0.25">
      <c r="B334" s="87">
        <v>328</v>
      </c>
      <c r="C334" s="88"/>
      <c r="D334" s="74"/>
      <c r="E334" s="74"/>
      <c r="F334" s="84" t="str">
        <f t="shared" si="5"/>
        <v/>
      </c>
      <c r="G334" s="89" t="str">
        <f>IF(F334="","",VLOOKUP($C334,CadSet!$C$7:$E$26,2,FALSE))</f>
        <v/>
      </c>
      <c r="H334" s="90" t="str">
        <f>IF(G334="","",VLOOKUP($C334,CadSet!$C$7:$E$26,3,FALSE))</f>
        <v/>
      </c>
      <c r="I334" s="91" t="str">
        <f>IF(F334="","",COUNTIFS(tbLancamentos[Equipamento],F334,tbLancamentos[Momento da falha],"&gt;="&amp;Res!$C$9,tbLancamentos[Momento da falha],"&lt;"&amp;Res!$O$9)+K334)</f>
        <v/>
      </c>
      <c r="J334" s="83" t="str">
        <f>IF(F334="","",SUMIFS(tbLancamentos[Tempo indisponível],tbLancamentos[Equipamento],F334,tbLancamentos[Momento da falha],"&gt;="&amp;Res!$C$9,tbLancamentos[Momento da falha],"&lt;"&amp;Res!$O$9)+K334)</f>
        <v/>
      </c>
      <c r="K334" s="79">
        <v>9.6729999999997293E-5</v>
      </c>
      <c r="L334" s="71" t="str">
        <f>IF(F334="","",IFERROR(COUNTIFS(tbLancamentos[Equipamento],F334,tbLancamentos[Momento da falha],"&gt;"&amp;0,tbLancamentos[Momento do retorno],""),0))</f>
        <v/>
      </c>
    </row>
    <row r="335" spans="2:12" ht="20.100000000000001" customHeight="1" x14ac:dyDescent="0.25">
      <c r="B335" s="87">
        <v>329</v>
      </c>
      <c r="C335" s="88"/>
      <c r="D335" s="74"/>
      <c r="E335" s="74"/>
      <c r="F335" s="84" t="str">
        <f t="shared" si="5"/>
        <v/>
      </c>
      <c r="G335" s="89" t="str">
        <f>IF(F335="","",VLOOKUP($C335,CadSet!$C$7:$E$26,2,FALSE))</f>
        <v/>
      </c>
      <c r="H335" s="90" t="str">
        <f>IF(G335="","",VLOOKUP($C335,CadSet!$C$7:$E$26,3,FALSE))</f>
        <v/>
      </c>
      <c r="I335" s="91" t="str">
        <f>IF(F335="","",COUNTIFS(tbLancamentos[Equipamento],F335,tbLancamentos[Momento da falha],"&gt;="&amp;Res!$C$9,tbLancamentos[Momento da falha],"&lt;"&amp;Res!$O$9)+K335)</f>
        <v/>
      </c>
      <c r="J335" s="83" t="str">
        <f>IF(F335="","",SUMIFS(tbLancamentos[Tempo indisponível],tbLancamentos[Equipamento],F335,tbLancamentos[Momento da falha],"&gt;="&amp;Res!$C$9,tbLancamentos[Momento da falha],"&lt;"&amp;Res!$O$9)+K335)</f>
        <v/>
      </c>
      <c r="K335" s="79">
        <v>9.6719999999997299E-5</v>
      </c>
      <c r="L335" s="71" t="str">
        <f>IF(F335="","",IFERROR(COUNTIFS(tbLancamentos[Equipamento],F335,tbLancamentos[Momento da falha],"&gt;"&amp;0,tbLancamentos[Momento do retorno],""),0))</f>
        <v/>
      </c>
    </row>
    <row r="336" spans="2:12" ht="20.100000000000001" customHeight="1" x14ac:dyDescent="0.25">
      <c r="B336" s="87">
        <v>330</v>
      </c>
      <c r="C336" s="88"/>
      <c r="D336" s="74"/>
      <c r="E336" s="74"/>
      <c r="F336" s="84" t="str">
        <f t="shared" si="5"/>
        <v/>
      </c>
      <c r="G336" s="89" t="str">
        <f>IF(F336="","",VLOOKUP($C336,CadSet!$C$7:$E$26,2,FALSE))</f>
        <v/>
      </c>
      <c r="H336" s="90" t="str">
        <f>IF(G336="","",VLOOKUP($C336,CadSet!$C$7:$E$26,3,FALSE))</f>
        <v/>
      </c>
      <c r="I336" s="91" t="str">
        <f>IF(F336="","",COUNTIFS(tbLancamentos[Equipamento],F336,tbLancamentos[Momento da falha],"&gt;="&amp;Res!$C$9,tbLancamentos[Momento da falha],"&lt;"&amp;Res!$O$9)+K336)</f>
        <v/>
      </c>
      <c r="J336" s="83" t="str">
        <f>IF(F336="","",SUMIFS(tbLancamentos[Tempo indisponível],tbLancamentos[Equipamento],F336,tbLancamentos[Momento da falha],"&gt;="&amp;Res!$C$9,tbLancamentos[Momento da falha],"&lt;"&amp;Res!$O$9)+K336)</f>
        <v/>
      </c>
      <c r="K336" s="79">
        <v>9.6709999999997195E-5</v>
      </c>
      <c r="L336" s="71" t="str">
        <f>IF(F336="","",IFERROR(COUNTIFS(tbLancamentos[Equipamento],F336,tbLancamentos[Momento da falha],"&gt;"&amp;0,tbLancamentos[Momento do retorno],""),0))</f>
        <v/>
      </c>
    </row>
    <row r="337" spans="2:12" ht="20.100000000000001" customHeight="1" x14ac:dyDescent="0.25">
      <c r="B337" s="87">
        <v>331</v>
      </c>
      <c r="C337" s="88"/>
      <c r="D337" s="74"/>
      <c r="E337" s="74"/>
      <c r="F337" s="84" t="str">
        <f t="shared" si="5"/>
        <v/>
      </c>
      <c r="G337" s="89" t="str">
        <f>IF(F337="","",VLOOKUP($C337,CadSet!$C$7:$E$26,2,FALSE))</f>
        <v/>
      </c>
      <c r="H337" s="90" t="str">
        <f>IF(G337="","",VLOOKUP($C337,CadSet!$C$7:$E$26,3,FALSE))</f>
        <v/>
      </c>
      <c r="I337" s="91" t="str">
        <f>IF(F337="","",COUNTIFS(tbLancamentos[Equipamento],F337,tbLancamentos[Momento da falha],"&gt;="&amp;Res!$C$9,tbLancamentos[Momento da falha],"&lt;"&amp;Res!$O$9)+K337)</f>
        <v/>
      </c>
      <c r="J337" s="83" t="str">
        <f>IF(F337="","",SUMIFS(tbLancamentos[Tempo indisponível],tbLancamentos[Equipamento],F337,tbLancamentos[Momento da falha],"&gt;="&amp;Res!$C$9,tbLancamentos[Momento da falha],"&lt;"&amp;Res!$O$9)+K337)</f>
        <v/>
      </c>
      <c r="K337" s="79">
        <v>9.6699999999997201E-5</v>
      </c>
      <c r="L337" s="71" t="str">
        <f>IF(F337="","",IFERROR(COUNTIFS(tbLancamentos[Equipamento],F337,tbLancamentos[Momento da falha],"&gt;"&amp;0,tbLancamentos[Momento do retorno],""),0))</f>
        <v/>
      </c>
    </row>
    <row r="338" spans="2:12" ht="20.100000000000001" customHeight="1" x14ac:dyDescent="0.25">
      <c r="B338" s="87">
        <v>332</v>
      </c>
      <c r="C338" s="88"/>
      <c r="D338" s="74"/>
      <c r="E338" s="74"/>
      <c r="F338" s="84" t="str">
        <f t="shared" si="5"/>
        <v/>
      </c>
      <c r="G338" s="89" t="str">
        <f>IF(F338="","",VLOOKUP($C338,CadSet!$C$7:$E$26,2,FALSE))</f>
        <v/>
      </c>
      <c r="H338" s="90" t="str">
        <f>IF(G338="","",VLOOKUP($C338,CadSet!$C$7:$E$26,3,FALSE))</f>
        <v/>
      </c>
      <c r="I338" s="91" t="str">
        <f>IF(F338="","",COUNTIFS(tbLancamentos[Equipamento],F338,tbLancamentos[Momento da falha],"&gt;="&amp;Res!$C$9,tbLancamentos[Momento da falha],"&lt;"&amp;Res!$O$9)+K338)</f>
        <v/>
      </c>
      <c r="J338" s="83" t="str">
        <f>IF(F338="","",SUMIFS(tbLancamentos[Tempo indisponível],tbLancamentos[Equipamento],F338,tbLancamentos[Momento da falha],"&gt;="&amp;Res!$C$9,tbLancamentos[Momento da falha],"&lt;"&amp;Res!$O$9)+K338)</f>
        <v/>
      </c>
      <c r="K338" s="79">
        <v>9.6689999999997206E-5</v>
      </c>
      <c r="L338" s="71" t="str">
        <f>IF(F338="","",IFERROR(COUNTIFS(tbLancamentos[Equipamento],F338,tbLancamentos[Momento da falha],"&gt;"&amp;0,tbLancamentos[Momento do retorno],""),0))</f>
        <v/>
      </c>
    </row>
    <row r="339" spans="2:12" ht="20.100000000000001" customHeight="1" x14ac:dyDescent="0.25">
      <c r="B339" s="87">
        <v>333</v>
      </c>
      <c r="C339" s="88"/>
      <c r="D339" s="74"/>
      <c r="E339" s="74"/>
      <c r="F339" s="84" t="str">
        <f t="shared" si="5"/>
        <v/>
      </c>
      <c r="G339" s="89" t="str">
        <f>IF(F339="","",VLOOKUP($C339,CadSet!$C$7:$E$26,2,FALSE))</f>
        <v/>
      </c>
      <c r="H339" s="90" t="str">
        <f>IF(G339="","",VLOOKUP($C339,CadSet!$C$7:$E$26,3,FALSE))</f>
        <v/>
      </c>
      <c r="I339" s="91" t="str">
        <f>IF(F339="","",COUNTIFS(tbLancamentos[Equipamento],F339,tbLancamentos[Momento da falha],"&gt;="&amp;Res!$C$9,tbLancamentos[Momento da falha],"&lt;"&amp;Res!$O$9)+K339)</f>
        <v/>
      </c>
      <c r="J339" s="83" t="str">
        <f>IF(F339="","",SUMIFS(tbLancamentos[Tempo indisponível],tbLancamentos[Equipamento],F339,tbLancamentos[Momento da falha],"&gt;="&amp;Res!$C$9,tbLancamentos[Momento da falha],"&lt;"&amp;Res!$O$9)+K339)</f>
        <v/>
      </c>
      <c r="K339" s="79">
        <v>9.6679999999997197E-5</v>
      </c>
      <c r="L339" s="71" t="str">
        <f>IF(F339="","",IFERROR(COUNTIFS(tbLancamentos[Equipamento],F339,tbLancamentos[Momento da falha],"&gt;"&amp;0,tbLancamentos[Momento do retorno],""),0))</f>
        <v/>
      </c>
    </row>
    <row r="340" spans="2:12" ht="20.100000000000001" customHeight="1" x14ac:dyDescent="0.25">
      <c r="B340" s="87">
        <v>334</v>
      </c>
      <c r="C340" s="88"/>
      <c r="D340" s="74"/>
      <c r="E340" s="74"/>
      <c r="F340" s="84" t="str">
        <f t="shared" si="5"/>
        <v/>
      </c>
      <c r="G340" s="89" t="str">
        <f>IF(F340="","",VLOOKUP($C340,CadSet!$C$7:$E$26,2,FALSE))</f>
        <v/>
      </c>
      <c r="H340" s="90" t="str">
        <f>IF(G340="","",VLOOKUP($C340,CadSet!$C$7:$E$26,3,FALSE))</f>
        <v/>
      </c>
      <c r="I340" s="91" t="str">
        <f>IF(F340="","",COUNTIFS(tbLancamentos[Equipamento],F340,tbLancamentos[Momento da falha],"&gt;="&amp;Res!$C$9,tbLancamentos[Momento da falha],"&lt;"&amp;Res!$O$9)+K340)</f>
        <v/>
      </c>
      <c r="J340" s="83" t="str">
        <f>IF(F340="","",SUMIFS(tbLancamentos[Tempo indisponível],tbLancamentos[Equipamento],F340,tbLancamentos[Momento da falha],"&gt;="&amp;Res!$C$9,tbLancamentos[Momento da falha],"&lt;"&amp;Res!$O$9)+K340)</f>
        <v/>
      </c>
      <c r="K340" s="79">
        <v>9.6669999999997203E-5</v>
      </c>
      <c r="L340" s="71" t="str">
        <f>IF(F340="","",IFERROR(COUNTIFS(tbLancamentos[Equipamento],F340,tbLancamentos[Momento da falha],"&gt;"&amp;0,tbLancamentos[Momento do retorno],""),0))</f>
        <v/>
      </c>
    </row>
    <row r="341" spans="2:12" ht="20.100000000000001" customHeight="1" x14ac:dyDescent="0.25">
      <c r="B341" s="87">
        <v>335</v>
      </c>
      <c r="C341" s="88"/>
      <c r="D341" s="74"/>
      <c r="E341" s="74"/>
      <c r="F341" s="84" t="str">
        <f t="shared" si="5"/>
        <v/>
      </c>
      <c r="G341" s="89" t="str">
        <f>IF(F341="","",VLOOKUP($C341,CadSet!$C$7:$E$26,2,FALSE))</f>
        <v/>
      </c>
      <c r="H341" s="90" t="str">
        <f>IF(G341="","",VLOOKUP($C341,CadSet!$C$7:$E$26,3,FALSE))</f>
        <v/>
      </c>
      <c r="I341" s="91" t="str">
        <f>IF(F341="","",COUNTIFS(tbLancamentos[Equipamento],F341,tbLancamentos[Momento da falha],"&gt;="&amp;Res!$C$9,tbLancamentos[Momento da falha],"&lt;"&amp;Res!$O$9)+K341)</f>
        <v/>
      </c>
      <c r="J341" s="83" t="str">
        <f>IF(F341="","",SUMIFS(tbLancamentos[Tempo indisponível],tbLancamentos[Equipamento],F341,tbLancamentos[Momento da falha],"&gt;="&amp;Res!$C$9,tbLancamentos[Momento da falha],"&lt;"&amp;Res!$O$9)+K341)</f>
        <v/>
      </c>
      <c r="K341" s="79">
        <v>9.6659999999997194E-5</v>
      </c>
      <c r="L341" s="71" t="str">
        <f>IF(F341="","",IFERROR(COUNTIFS(tbLancamentos[Equipamento],F341,tbLancamentos[Momento da falha],"&gt;"&amp;0,tbLancamentos[Momento do retorno],""),0))</f>
        <v/>
      </c>
    </row>
    <row r="342" spans="2:12" ht="20.100000000000001" customHeight="1" x14ac:dyDescent="0.25">
      <c r="B342" s="87">
        <v>336</v>
      </c>
      <c r="C342" s="88"/>
      <c r="D342" s="74"/>
      <c r="E342" s="74"/>
      <c r="F342" s="84" t="str">
        <f t="shared" si="5"/>
        <v/>
      </c>
      <c r="G342" s="89" t="str">
        <f>IF(F342="","",VLOOKUP($C342,CadSet!$C$7:$E$26,2,FALSE))</f>
        <v/>
      </c>
      <c r="H342" s="90" t="str">
        <f>IF(G342="","",VLOOKUP($C342,CadSet!$C$7:$E$26,3,FALSE))</f>
        <v/>
      </c>
      <c r="I342" s="91" t="str">
        <f>IF(F342="","",COUNTIFS(tbLancamentos[Equipamento],F342,tbLancamentos[Momento da falha],"&gt;="&amp;Res!$C$9,tbLancamentos[Momento da falha],"&lt;"&amp;Res!$O$9)+K342)</f>
        <v/>
      </c>
      <c r="J342" s="83" t="str">
        <f>IF(F342="","",SUMIFS(tbLancamentos[Tempo indisponível],tbLancamentos[Equipamento],F342,tbLancamentos[Momento da falha],"&gt;="&amp;Res!$C$9,tbLancamentos[Momento da falha],"&lt;"&amp;Res!$O$9)+K342)</f>
        <v/>
      </c>
      <c r="K342" s="79">
        <v>9.6649999999997199E-5</v>
      </c>
      <c r="L342" s="71" t="str">
        <f>IF(F342="","",IFERROR(COUNTIFS(tbLancamentos[Equipamento],F342,tbLancamentos[Momento da falha],"&gt;"&amp;0,tbLancamentos[Momento do retorno],""),0))</f>
        <v/>
      </c>
    </row>
    <row r="343" spans="2:12" ht="20.100000000000001" customHeight="1" x14ac:dyDescent="0.25">
      <c r="B343" s="87">
        <v>337</v>
      </c>
      <c r="C343" s="88"/>
      <c r="D343" s="74"/>
      <c r="E343" s="74"/>
      <c r="F343" s="84" t="str">
        <f t="shared" si="5"/>
        <v/>
      </c>
      <c r="G343" s="89" t="str">
        <f>IF(F343="","",VLOOKUP($C343,CadSet!$C$7:$E$26,2,FALSE))</f>
        <v/>
      </c>
      <c r="H343" s="90" t="str">
        <f>IF(G343="","",VLOOKUP($C343,CadSet!$C$7:$E$26,3,FALSE))</f>
        <v/>
      </c>
      <c r="I343" s="91" t="str">
        <f>IF(F343="","",COUNTIFS(tbLancamentos[Equipamento],F343,tbLancamentos[Momento da falha],"&gt;="&amp;Res!$C$9,tbLancamentos[Momento da falha],"&lt;"&amp;Res!$O$9)+K343)</f>
        <v/>
      </c>
      <c r="J343" s="83" t="str">
        <f>IF(F343="","",SUMIFS(tbLancamentos[Tempo indisponível],tbLancamentos[Equipamento],F343,tbLancamentos[Momento da falha],"&gt;="&amp;Res!$C$9,tbLancamentos[Momento da falha],"&lt;"&amp;Res!$O$9)+K343)</f>
        <v/>
      </c>
      <c r="K343" s="79">
        <v>9.6639999999997204E-5</v>
      </c>
      <c r="L343" s="71" t="str">
        <f>IF(F343="","",IFERROR(COUNTIFS(tbLancamentos[Equipamento],F343,tbLancamentos[Momento da falha],"&gt;"&amp;0,tbLancamentos[Momento do retorno],""),0))</f>
        <v/>
      </c>
    </row>
    <row r="344" spans="2:12" ht="20.100000000000001" customHeight="1" x14ac:dyDescent="0.25">
      <c r="B344" s="87">
        <v>338</v>
      </c>
      <c r="C344" s="88"/>
      <c r="D344" s="74"/>
      <c r="E344" s="74"/>
      <c r="F344" s="84" t="str">
        <f t="shared" si="5"/>
        <v/>
      </c>
      <c r="G344" s="89" t="str">
        <f>IF(F344="","",VLOOKUP($C344,CadSet!$C$7:$E$26,2,FALSE))</f>
        <v/>
      </c>
      <c r="H344" s="90" t="str">
        <f>IF(G344="","",VLOOKUP($C344,CadSet!$C$7:$E$26,3,FALSE))</f>
        <v/>
      </c>
      <c r="I344" s="91" t="str">
        <f>IF(F344="","",COUNTIFS(tbLancamentos[Equipamento],F344,tbLancamentos[Momento da falha],"&gt;="&amp;Res!$C$9,tbLancamentos[Momento da falha],"&lt;"&amp;Res!$O$9)+K344)</f>
        <v/>
      </c>
      <c r="J344" s="83" t="str">
        <f>IF(F344="","",SUMIFS(tbLancamentos[Tempo indisponível],tbLancamentos[Equipamento],F344,tbLancamentos[Momento da falha],"&gt;="&amp;Res!$C$9,tbLancamentos[Momento da falha],"&lt;"&amp;Res!$O$9)+K344)</f>
        <v/>
      </c>
      <c r="K344" s="79">
        <v>9.6629999999997196E-5</v>
      </c>
      <c r="L344" s="71" t="str">
        <f>IF(F344="","",IFERROR(COUNTIFS(tbLancamentos[Equipamento],F344,tbLancamentos[Momento da falha],"&gt;"&amp;0,tbLancamentos[Momento do retorno],""),0))</f>
        <v/>
      </c>
    </row>
    <row r="345" spans="2:12" ht="20.100000000000001" customHeight="1" x14ac:dyDescent="0.25">
      <c r="B345" s="87">
        <v>339</v>
      </c>
      <c r="C345" s="88"/>
      <c r="D345" s="74"/>
      <c r="E345" s="74"/>
      <c r="F345" s="84" t="str">
        <f t="shared" si="5"/>
        <v/>
      </c>
      <c r="G345" s="89" t="str">
        <f>IF(F345="","",VLOOKUP($C345,CadSet!$C$7:$E$26,2,FALSE))</f>
        <v/>
      </c>
      <c r="H345" s="90" t="str">
        <f>IF(G345="","",VLOOKUP($C345,CadSet!$C$7:$E$26,3,FALSE))</f>
        <v/>
      </c>
      <c r="I345" s="91" t="str">
        <f>IF(F345="","",COUNTIFS(tbLancamentos[Equipamento],F345,tbLancamentos[Momento da falha],"&gt;="&amp;Res!$C$9,tbLancamentos[Momento da falha],"&lt;"&amp;Res!$O$9)+K345)</f>
        <v/>
      </c>
      <c r="J345" s="83" t="str">
        <f>IF(F345="","",SUMIFS(tbLancamentos[Tempo indisponível],tbLancamentos[Equipamento],F345,tbLancamentos[Momento da falha],"&gt;="&amp;Res!$C$9,tbLancamentos[Momento da falha],"&lt;"&amp;Res!$O$9)+K345)</f>
        <v/>
      </c>
      <c r="K345" s="79">
        <v>9.6619999999997201E-5</v>
      </c>
      <c r="L345" s="71" t="str">
        <f>IF(F345="","",IFERROR(COUNTIFS(tbLancamentos[Equipamento],F345,tbLancamentos[Momento da falha],"&gt;"&amp;0,tbLancamentos[Momento do retorno],""),0))</f>
        <v/>
      </c>
    </row>
    <row r="346" spans="2:12" ht="20.100000000000001" customHeight="1" x14ac:dyDescent="0.25">
      <c r="B346" s="87">
        <v>340</v>
      </c>
      <c r="C346" s="88"/>
      <c r="D346" s="74"/>
      <c r="E346" s="74"/>
      <c r="F346" s="84" t="str">
        <f t="shared" si="5"/>
        <v/>
      </c>
      <c r="G346" s="89" t="str">
        <f>IF(F346="","",VLOOKUP($C346,CadSet!$C$7:$E$26,2,FALSE))</f>
        <v/>
      </c>
      <c r="H346" s="90" t="str">
        <f>IF(G346="","",VLOOKUP($C346,CadSet!$C$7:$E$26,3,FALSE))</f>
        <v/>
      </c>
      <c r="I346" s="91" t="str">
        <f>IF(F346="","",COUNTIFS(tbLancamentos[Equipamento],F346,tbLancamentos[Momento da falha],"&gt;="&amp;Res!$C$9,tbLancamentos[Momento da falha],"&lt;"&amp;Res!$O$9)+K346)</f>
        <v/>
      </c>
      <c r="J346" s="83" t="str">
        <f>IF(F346="","",SUMIFS(tbLancamentos[Tempo indisponível],tbLancamentos[Equipamento],F346,tbLancamentos[Momento da falha],"&gt;="&amp;Res!$C$9,tbLancamentos[Momento da falha],"&lt;"&amp;Res!$O$9)+K346)</f>
        <v/>
      </c>
      <c r="K346" s="79">
        <v>9.6609999999997206E-5</v>
      </c>
      <c r="L346" s="71" t="str">
        <f>IF(F346="","",IFERROR(COUNTIFS(tbLancamentos[Equipamento],F346,tbLancamentos[Momento da falha],"&gt;"&amp;0,tbLancamentos[Momento do retorno],""),0))</f>
        <v/>
      </c>
    </row>
    <row r="347" spans="2:12" ht="20.100000000000001" customHeight="1" x14ac:dyDescent="0.25">
      <c r="B347" s="87">
        <v>341</v>
      </c>
      <c r="C347" s="88"/>
      <c r="D347" s="74"/>
      <c r="E347" s="74"/>
      <c r="F347" s="84" t="str">
        <f t="shared" si="5"/>
        <v/>
      </c>
      <c r="G347" s="89" t="str">
        <f>IF(F347="","",VLOOKUP($C347,CadSet!$C$7:$E$26,2,FALSE))</f>
        <v/>
      </c>
      <c r="H347" s="90" t="str">
        <f>IF(G347="","",VLOOKUP($C347,CadSet!$C$7:$E$26,3,FALSE))</f>
        <v/>
      </c>
      <c r="I347" s="91" t="str">
        <f>IF(F347="","",COUNTIFS(tbLancamentos[Equipamento],F347,tbLancamentos[Momento da falha],"&gt;="&amp;Res!$C$9,tbLancamentos[Momento da falha],"&lt;"&amp;Res!$O$9)+K347)</f>
        <v/>
      </c>
      <c r="J347" s="83" t="str">
        <f>IF(F347="","",SUMIFS(tbLancamentos[Tempo indisponível],tbLancamentos[Equipamento],F347,tbLancamentos[Momento da falha],"&gt;="&amp;Res!$C$9,tbLancamentos[Momento da falha],"&lt;"&amp;Res!$O$9)+K347)</f>
        <v/>
      </c>
      <c r="K347" s="79">
        <v>9.6599999999997198E-5</v>
      </c>
      <c r="L347" s="71" t="str">
        <f>IF(F347="","",IFERROR(COUNTIFS(tbLancamentos[Equipamento],F347,tbLancamentos[Momento da falha],"&gt;"&amp;0,tbLancamentos[Momento do retorno],""),0))</f>
        <v/>
      </c>
    </row>
    <row r="348" spans="2:12" ht="20.100000000000001" customHeight="1" x14ac:dyDescent="0.25">
      <c r="B348" s="87">
        <v>342</v>
      </c>
      <c r="C348" s="88"/>
      <c r="D348" s="74"/>
      <c r="E348" s="74"/>
      <c r="F348" s="84" t="str">
        <f t="shared" si="5"/>
        <v/>
      </c>
      <c r="G348" s="89" t="str">
        <f>IF(F348="","",VLOOKUP($C348,CadSet!$C$7:$E$26,2,FALSE))</f>
        <v/>
      </c>
      <c r="H348" s="90" t="str">
        <f>IF(G348="","",VLOOKUP($C348,CadSet!$C$7:$E$26,3,FALSE))</f>
        <v/>
      </c>
      <c r="I348" s="91" t="str">
        <f>IF(F348="","",COUNTIFS(tbLancamentos[Equipamento],F348,tbLancamentos[Momento da falha],"&gt;="&amp;Res!$C$9,tbLancamentos[Momento da falha],"&lt;"&amp;Res!$O$9)+K348)</f>
        <v/>
      </c>
      <c r="J348" s="83" t="str">
        <f>IF(F348="","",SUMIFS(tbLancamentos[Tempo indisponível],tbLancamentos[Equipamento],F348,tbLancamentos[Momento da falha],"&gt;="&amp;Res!$C$9,tbLancamentos[Momento da falha],"&lt;"&amp;Res!$O$9)+K348)</f>
        <v/>
      </c>
      <c r="K348" s="79">
        <v>9.6589999999997095E-5</v>
      </c>
      <c r="L348" s="71" t="str">
        <f>IF(F348="","",IFERROR(COUNTIFS(tbLancamentos[Equipamento],F348,tbLancamentos[Momento da falha],"&gt;"&amp;0,tbLancamentos[Momento do retorno],""),0))</f>
        <v/>
      </c>
    </row>
    <row r="349" spans="2:12" ht="20.100000000000001" customHeight="1" x14ac:dyDescent="0.25">
      <c r="B349" s="87">
        <v>343</v>
      </c>
      <c r="C349" s="88"/>
      <c r="D349" s="74"/>
      <c r="E349" s="74"/>
      <c r="F349" s="84" t="str">
        <f t="shared" si="5"/>
        <v/>
      </c>
      <c r="G349" s="89" t="str">
        <f>IF(F349="","",VLOOKUP($C349,CadSet!$C$7:$E$26,2,FALSE))</f>
        <v/>
      </c>
      <c r="H349" s="90" t="str">
        <f>IF(G349="","",VLOOKUP($C349,CadSet!$C$7:$E$26,3,FALSE))</f>
        <v/>
      </c>
      <c r="I349" s="91" t="str">
        <f>IF(F349="","",COUNTIFS(tbLancamentos[Equipamento],F349,tbLancamentos[Momento da falha],"&gt;="&amp;Res!$C$9,tbLancamentos[Momento da falha],"&lt;"&amp;Res!$O$9)+K349)</f>
        <v/>
      </c>
      <c r="J349" s="83" t="str">
        <f>IF(F349="","",SUMIFS(tbLancamentos[Tempo indisponível],tbLancamentos[Equipamento],F349,tbLancamentos[Momento da falha],"&gt;="&amp;Res!$C$9,tbLancamentos[Momento da falha],"&lt;"&amp;Res!$O$9)+K349)</f>
        <v/>
      </c>
      <c r="K349" s="79">
        <v>9.65799999999971E-5</v>
      </c>
      <c r="L349" s="71" t="str">
        <f>IF(F349="","",IFERROR(COUNTIFS(tbLancamentos[Equipamento],F349,tbLancamentos[Momento da falha],"&gt;"&amp;0,tbLancamentos[Momento do retorno],""),0))</f>
        <v/>
      </c>
    </row>
    <row r="350" spans="2:12" ht="20.100000000000001" customHeight="1" x14ac:dyDescent="0.25">
      <c r="B350" s="87">
        <v>344</v>
      </c>
      <c r="C350" s="88"/>
      <c r="D350" s="74"/>
      <c r="E350" s="74"/>
      <c r="F350" s="84" t="str">
        <f t="shared" si="5"/>
        <v/>
      </c>
      <c r="G350" s="89" t="str">
        <f>IF(F350="","",VLOOKUP($C350,CadSet!$C$7:$E$26,2,FALSE))</f>
        <v/>
      </c>
      <c r="H350" s="90" t="str">
        <f>IF(G350="","",VLOOKUP($C350,CadSet!$C$7:$E$26,3,FALSE))</f>
        <v/>
      </c>
      <c r="I350" s="91" t="str">
        <f>IF(F350="","",COUNTIFS(tbLancamentos[Equipamento],F350,tbLancamentos[Momento da falha],"&gt;="&amp;Res!$C$9,tbLancamentos[Momento da falha],"&lt;"&amp;Res!$O$9)+K350)</f>
        <v/>
      </c>
      <c r="J350" s="83" t="str">
        <f>IF(F350="","",SUMIFS(tbLancamentos[Tempo indisponível],tbLancamentos[Equipamento],F350,tbLancamentos[Momento da falha],"&gt;="&amp;Res!$C$9,tbLancamentos[Momento da falha],"&lt;"&amp;Res!$O$9)+K350)</f>
        <v/>
      </c>
      <c r="K350" s="79">
        <v>9.6569999999997105E-5</v>
      </c>
      <c r="L350" s="71" t="str">
        <f>IF(F350="","",IFERROR(COUNTIFS(tbLancamentos[Equipamento],F350,tbLancamentos[Momento da falha],"&gt;"&amp;0,tbLancamentos[Momento do retorno],""),0))</f>
        <v/>
      </c>
    </row>
    <row r="351" spans="2:12" ht="20.100000000000001" customHeight="1" x14ac:dyDescent="0.25">
      <c r="B351" s="87">
        <v>345</v>
      </c>
      <c r="C351" s="88"/>
      <c r="D351" s="74"/>
      <c r="E351" s="74"/>
      <c r="F351" s="84" t="str">
        <f t="shared" si="5"/>
        <v/>
      </c>
      <c r="G351" s="89" t="str">
        <f>IF(F351="","",VLOOKUP($C351,CadSet!$C$7:$E$26,2,FALSE))</f>
        <v/>
      </c>
      <c r="H351" s="90" t="str">
        <f>IF(G351="","",VLOOKUP($C351,CadSet!$C$7:$E$26,3,FALSE))</f>
        <v/>
      </c>
      <c r="I351" s="91" t="str">
        <f>IF(F351="","",COUNTIFS(tbLancamentos[Equipamento],F351,tbLancamentos[Momento da falha],"&gt;="&amp;Res!$C$9,tbLancamentos[Momento da falha],"&lt;"&amp;Res!$O$9)+K351)</f>
        <v/>
      </c>
      <c r="J351" s="83" t="str">
        <f>IF(F351="","",SUMIFS(tbLancamentos[Tempo indisponível],tbLancamentos[Equipamento],F351,tbLancamentos[Momento da falha],"&gt;="&amp;Res!$C$9,tbLancamentos[Momento da falha],"&lt;"&amp;Res!$O$9)+K351)</f>
        <v/>
      </c>
      <c r="K351" s="79">
        <v>9.6559999999997097E-5</v>
      </c>
      <c r="L351" s="71" t="str">
        <f>IF(F351="","",IFERROR(COUNTIFS(tbLancamentos[Equipamento],F351,tbLancamentos[Momento da falha],"&gt;"&amp;0,tbLancamentos[Momento do retorno],""),0))</f>
        <v/>
      </c>
    </row>
    <row r="352" spans="2:12" ht="20.100000000000001" customHeight="1" x14ac:dyDescent="0.25">
      <c r="B352" s="87">
        <v>346</v>
      </c>
      <c r="C352" s="88"/>
      <c r="D352" s="74"/>
      <c r="E352" s="74"/>
      <c r="F352" s="84" t="str">
        <f t="shared" si="5"/>
        <v/>
      </c>
      <c r="G352" s="89" t="str">
        <f>IF(F352="","",VLOOKUP($C352,CadSet!$C$7:$E$26,2,FALSE))</f>
        <v/>
      </c>
      <c r="H352" s="90" t="str">
        <f>IF(G352="","",VLOOKUP($C352,CadSet!$C$7:$E$26,3,FALSE))</f>
        <v/>
      </c>
      <c r="I352" s="91" t="str">
        <f>IF(F352="","",COUNTIFS(tbLancamentos[Equipamento],F352,tbLancamentos[Momento da falha],"&gt;="&amp;Res!$C$9,tbLancamentos[Momento da falha],"&lt;"&amp;Res!$O$9)+K352)</f>
        <v/>
      </c>
      <c r="J352" s="83" t="str">
        <f>IF(F352="","",SUMIFS(tbLancamentos[Tempo indisponível],tbLancamentos[Equipamento],F352,tbLancamentos[Momento da falha],"&gt;="&amp;Res!$C$9,tbLancamentos[Momento da falha],"&lt;"&amp;Res!$O$9)+K352)</f>
        <v/>
      </c>
      <c r="K352" s="79">
        <v>9.6549999999997102E-5</v>
      </c>
      <c r="L352" s="71" t="str">
        <f>IF(F352="","",IFERROR(COUNTIFS(tbLancamentos[Equipamento],F352,tbLancamentos[Momento da falha],"&gt;"&amp;0,tbLancamentos[Momento do retorno],""),0))</f>
        <v/>
      </c>
    </row>
    <row r="353" spans="2:12" ht="20.100000000000001" customHeight="1" x14ac:dyDescent="0.25">
      <c r="B353" s="87">
        <v>347</v>
      </c>
      <c r="C353" s="88"/>
      <c r="D353" s="74"/>
      <c r="E353" s="74"/>
      <c r="F353" s="84" t="str">
        <f t="shared" si="5"/>
        <v/>
      </c>
      <c r="G353" s="89" t="str">
        <f>IF(F353="","",VLOOKUP($C353,CadSet!$C$7:$E$26,2,FALSE))</f>
        <v/>
      </c>
      <c r="H353" s="90" t="str">
        <f>IF(G353="","",VLOOKUP($C353,CadSet!$C$7:$E$26,3,FALSE))</f>
        <v/>
      </c>
      <c r="I353" s="91" t="str">
        <f>IF(F353="","",COUNTIFS(tbLancamentos[Equipamento],F353,tbLancamentos[Momento da falha],"&gt;="&amp;Res!$C$9,tbLancamentos[Momento da falha],"&lt;"&amp;Res!$O$9)+K353)</f>
        <v/>
      </c>
      <c r="J353" s="83" t="str">
        <f>IF(F353="","",SUMIFS(tbLancamentos[Tempo indisponível],tbLancamentos[Equipamento],F353,tbLancamentos[Momento da falha],"&gt;="&amp;Res!$C$9,tbLancamentos[Momento da falha],"&lt;"&amp;Res!$O$9)+K353)</f>
        <v/>
      </c>
      <c r="K353" s="79">
        <v>9.6539999999997094E-5</v>
      </c>
      <c r="L353" s="71" t="str">
        <f>IF(F353="","",IFERROR(COUNTIFS(tbLancamentos[Equipamento],F353,tbLancamentos[Momento da falha],"&gt;"&amp;0,tbLancamentos[Momento do retorno],""),0))</f>
        <v/>
      </c>
    </row>
    <row r="354" spans="2:12" ht="20.100000000000001" customHeight="1" x14ac:dyDescent="0.25">
      <c r="B354" s="87">
        <v>348</v>
      </c>
      <c r="C354" s="88"/>
      <c r="D354" s="74"/>
      <c r="E354" s="74"/>
      <c r="F354" s="84" t="str">
        <f t="shared" si="5"/>
        <v/>
      </c>
      <c r="G354" s="89" t="str">
        <f>IF(F354="","",VLOOKUP($C354,CadSet!$C$7:$E$26,2,FALSE))</f>
        <v/>
      </c>
      <c r="H354" s="90" t="str">
        <f>IF(G354="","",VLOOKUP($C354,CadSet!$C$7:$E$26,3,FALSE))</f>
        <v/>
      </c>
      <c r="I354" s="91" t="str">
        <f>IF(F354="","",COUNTIFS(tbLancamentos[Equipamento],F354,tbLancamentos[Momento da falha],"&gt;="&amp;Res!$C$9,tbLancamentos[Momento da falha],"&lt;"&amp;Res!$O$9)+K354)</f>
        <v/>
      </c>
      <c r="J354" s="83" t="str">
        <f>IF(F354="","",SUMIFS(tbLancamentos[Tempo indisponível],tbLancamentos[Equipamento],F354,tbLancamentos[Momento da falha],"&gt;="&amp;Res!$C$9,tbLancamentos[Momento da falha],"&lt;"&amp;Res!$O$9)+K354)</f>
        <v/>
      </c>
      <c r="K354" s="79">
        <v>9.6529999999997099E-5</v>
      </c>
      <c r="L354" s="71" t="str">
        <f>IF(F354="","",IFERROR(COUNTIFS(tbLancamentos[Equipamento],F354,tbLancamentos[Momento da falha],"&gt;"&amp;0,tbLancamentos[Momento do retorno],""),0))</f>
        <v/>
      </c>
    </row>
    <row r="355" spans="2:12" ht="20.100000000000001" customHeight="1" x14ac:dyDescent="0.25">
      <c r="B355" s="87">
        <v>349</v>
      </c>
      <c r="C355" s="88"/>
      <c r="D355" s="74"/>
      <c r="E355" s="74"/>
      <c r="F355" s="84" t="str">
        <f t="shared" si="5"/>
        <v/>
      </c>
      <c r="G355" s="89" t="str">
        <f>IF(F355="","",VLOOKUP($C355,CadSet!$C$7:$E$26,2,FALSE))</f>
        <v/>
      </c>
      <c r="H355" s="90" t="str">
        <f>IF(G355="","",VLOOKUP($C355,CadSet!$C$7:$E$26,3,FALSE))</f>
        <v/>
      </c>
      <c r="I355" s="91" t="str">
        <f>IF(F355="","",COUNTIFS(tbLancamentos[Equipamento],F355,tbLancamentos[Momento da falha],"&gt;="&amp;Res!$C$9,tbLancamentos[Momento da falha],"&lt;"&amp;Res!$O$9)+K355)</f>
        <v/>
      </c>
      <c r="J355" s="83" t="str">
        <f>IF(F355="","",SUMIFS(tbLancamentos[Tempo indisponível],tbLancamentos[Equipamento],F355,tbLancamentos[Momento da falha],"&gt;="&amp;Res!$C$9,tbLancamentos[Momento da falha],"&lt;"&amp;Res!$O$9)+K355)</f>
        <v/>
      </c>
      <c r="K355" s="79">
        <v>9.6519999999997104E-5</v>
      </c>
      <c r="L355" s="71" t="str">
        <f>IF(F355="","",IFERROR(COUNTIFS(tbLancamentos[Equipamento],F355,tbLancamentos[Momento da falha],"&gt;"&amp;0,tbLancamentos[Momento do retorno],""),0))</f>
        <v/>
      </c>
    </row>
    <row r="356" spans="2:12" ht="20.100000000000001" customHeight="1" x14ac:dyDescent="0.25">
      <c r="B356" s="87">
        <v>350</v>
      </c>
      <c r="C356" s="88"/>
      <c r="D356" s="74"/>
      <c r="E356" s="74"/>
      <c r="F356" s="84" t="str">
        <f t="shared" si="5"/>
        <v/>
      </c>
      <c r="G356" s="89" t="str">
        <f>IF(F356="","",VLOOKUP($C356,CadSet!$C$7:$E$26,2,FALSE))</f>
        <v/>
      </c>
      <c r="H356" s="90" t="str">
        <f>IF(G356="","",VLOOKUP($C356,CadSet!$C$7:$E$26,3,FALSE))</f>
        <v/>
      </c>
      <c r="I356" s="91" t="str">
        <f>IF(F356="","",COUNTIFS(tbLancamentos[Equipamento],F356,tbLancamentos[Momento da falha],"&gt;="&amp;Res!$C$9,tbLancamentos[Momento da falha],"&lt;"&amp;Res!$O$9)+K356)</f>
        <v/>
      </c>
      <c r="J356" s="83" t="str">
        <f>IF(F356="","",SUMIFS(tbLancamentos[Tempo indisponível],tbLancamentos[Equipamento],F356,tbLancamentos[Momento da falha],"&gt;="&amp;Res!$C$9,tbLancamentos[Momento da falha],"&lt;"&amp;Res!$O$9)+K356)</f>
        <v/>
      </c>
      <c r="K356" s="79">
        <v>9.6509999999997096E-5</v>
      </c>
      <c r="L356" s="71" t="str">
        <f>IF(F356="","",IFERROR(COUNTIFS(tbLancamentos[Equipamento],F356,tbLancamentos[Momento da falha],"&gt;"&amp;0,tbLancamentos[Momento do retorno],""),0))</f>
        <v/>
      </c>
    </row>
    <row r="357" spans="2:12" ht="20.100000000000001" customHeight="1" x14ac:dyDescent="0.25">
      <c r="B357" s="87">
        <v>351</v>
      </c>
      <c r="C357" s="88"/>
      <c r="D357" s="74"/>
      <c r="E357" s="74"/>
      <c r="F357" s="84" t="str">
        <f t="shared" si="5"/>
        <v/>
      </c>
      <c r="G357" s="89" t="str">
        <f>IF(F357="","",VLOOKUP($C357,CadSet!$C$7:$E$26,2,FALSE))</f>
        <v/>
      </c>
      <c r="H357" s="90" t="str">
        <f>IF(G357="","",VLOOKUP($C357,CadSet!$C$7:$E$26,3,FALSE))</f>
        <v/>
      </c>
      <c r="I357" s="91" t="str">
        <f>IF(F357="","",COUNTIFS(tbLancamentos[Equipamento],F357,tbLancamentos[Momento da falha],"&gt;="&amp;Res!$C$9,tbLancamentos[Momento da falha],"&lt;"&amp;Res!$O$9)+K357)</f>
        <v/>
      </c>
      <c r="J357" s="83" t="str">
        <f>IF(F357="","",SUMIFS(tbLancamentos[Tempo indisponível],tbLancamentos[Equipamento],F357,tbLancamentos[Momento da falha],"&gt;="&amp;Res!$C$9,tbLancamentos[Momento da falha],"&lt;"&amp;Res!$O$9)+K357)</f>
        <v/>
      </c>
      <c r="K357" s="79">
        <v>9.6499999999997101E-5</v>
      </c>
      <c r="L357" s="71" t="str">
        <f>IF(F357="","",IFERROR(COUNTIFS(tbLancamentos[Equipamento],F357,tbLancamentos[Momento da falha],"&gt;"&amp;0,tbLancamentos[Momento do retorno],""),0))</f>
        <v/>
      </c>
    </row>
    <row r="358" spans="2:12" ht="20.100000000000001" customHeight="1" x14ac:dyDescent="0.25">
      <c r="B358" s="87">
        <v>352</v>
      </c>
      <c r="C358" s="88"/>
      <c r="D358" s="74"/>
      <c r="E358" s="74"/>
      <c r="F358" s="84" t="str">
        <f t="shared" si="5"/>
        <v/>
      </c>
      <c r="G358" s="89" t="str">
        <f>IF(F358="","",VLOOKUP($C358,CadSet!$C$7:$E$26,2,FALSE))</f>
        <v/>
      </c>
      <c r="H358" s="90" t="str">
        <f>IF(G358="","",VLOOKUP($C358,CadSet!$C$7:$E$26,3,FALSE))</f>
        <v/>
      </c>
      <c r="I358" s="91" t="str">
        <f>IF(F358="","",COUNTIFS(tbLancamentos[Equipamento],F358,tbLancamentos[Momento da falha],"&gt;="&amp;Res!$C$9,tbLancamentos[Momento da falha],"&lt;"&amp;Res!$O$9)+K358)</f>
        <v/>
      </c>
      <c r="J358" s="83" t="str">
        <f>IF(F358="","",SUMIFS(tbLancamentos[Tempo indisponível],tbLancamentos[Equipamento],F358,tbLancamentos[Momento da falha],"&gt;="&amp;Res!$C$9,tbLancamentos[Momento da falha],"&lt;"&amp;Res!$O$9)+K358)</f>
        <v/>
      </c>
      <c r="K358" s="79">
        <v>9.6489999999997106E-5</v>
      </c>
      <c r="L358" s="71" t="str">
        <f>IF(F358="","",IFERROR(COUNTIFS(tbLancamentos[Equipamento],F358,tbLancamentos[Momento da falha],"&gt;"&amp;0,tbLancamentos[Momento do retorno],""),0))</f>
        <v/>
      </c>
    </row>
    <row r="359" spans="2:12" ht="20.100000000000001" customHeight="1" x14ac:dyDescent="0.25">
      <c r="B359" s="87">
        <v>353</v>
      </c>
      <c r="C359" s="88"/>
      <c r="D359" s="74"/>
      <c r="E359" s="74"/>
      <c r="F359" s="84" t="str">
        <f t="shared" si="5"/>
        <v/>
      </c>
      <c r="G359" s="89" t="str">
        <f>IF(F359="","",VLOOKUP($C359,CadSet!$C$7:$E$26,2,FALSE))</f>
        <v/>
      </c>
      <c r="H359" s="90" t="str">
        <f>IF(G359="","",VLOOKUP($C359,CadSet!$C$7:$E$26,3,FALSE))</f>
        <v/>
      </c>
      <c r="I359" s="91" t="str">
        <f>IF(F359="","",COUNTIFS(tbLancamentos[Equipamento],F359,tbLancamentos[Momento da falha],"&gt;="&amp;Res!$C$9,tbLancamentos[Momento da falha],"&lt;"&amp;Res!$O$9)+K359)</f>
        <v/>
      </c>
      <c r="J359" s="83" t="str">
        <f>IF(F359="","",SUMIFS(tbLancamentos[Tempo indisponível],tbLancamentos[Equipamento],F359,tbLancamentos[Momento da falha],"&gt;="&amp;Res!$C$9,tbLancamentos[Momento da falha],"&lt;"&amp;Res!$O$9)+K359)</f>
        <v/>
      </c>
      <c r="K359" s="79">
        <v>9.6479999999997098E-5</v>
      </c>
      <c r="L359" s="71" t="str">
        <f>IF(F359="","",IFERROR(COUNTIFS(tbLancamentos[Equipamento],F359,tbLancamentos[Momento da falha],"&gt;"&amp;0,tbLancamentos[Momento do retorno],""),0))</f>
        <v/>
      </c>
    </row>
    <row r="360" spans="2:12" ht="20.100000000000001" customHeight="1" x14ac:dyDescent="0.25">
      <c r="B360" s="87">
        <v>354</v>
      </c>
      <c r="C360" s="88"/>
      <c r="D360" s="74"/>
      <c r="E360" s="74"/>
      <c r="F360" s="84" t="str">
        <f t="shared" si="5"/>
        <v/>
      </c>
      <c r="G360" s="89" t="str">
        <f>IF(F360="","",VLOOKUP($C360,CadSet!$C$7:$E$26,2,FALSE))</f>
        <v/>
      </c>
      <c r="H360" s="90" t="str">
        <f>IF(G360="","",VLOOKUP($C360,CadSet!$C$7:$E$26,3,FALSE))</f>
        <v/>
      </c>
      <c r="I360" s="91" t="str">
        <f>IF(F360="","",COUNTIFS(tbLancamentos[Equipamento],F360,tbLancamentos[Momento da falha],"&gt;="&amp;Res!$C$9,tbLancamentos[Momento da falha],"&lt;"&amp;Res!$O$9)+K360)</f>
        <v/>
      </c>
      <c r="J360" s="83" t="str">
        <f>IF(F360="","",SUMIFS(tbLancamentos[Tempo indisponível],tbLancamentos[Equipamento],F360,tbLancamentos[Momento da falha],"&gt;="&amp;Res!$C$9,tbLancamentos[Momento da falha],"&lt;"&amp;Res!$O$9)+K360)</f>
        <v/>
      </c>
      <c r="K360" s="79">
        <v>9.6469999999996994E-5</v>
      </c>
      <c r="L360" s="71" t="str">
        <f>IF(F360="","",IFERROR(COUNTIFS(tbLancamentos[Equipamento],F360,tbLancamentos[Momento da falha],"&gt;"&amp;0,tbLancamentos[Momento do retorno],""),0))</f>
        <v/>
      </c>
    </row>
    <row r="361" spans="2:12" ht="20.100000000000001" customHeight="1" x14ac:dyDescent="0.25">
      <c r="B361" s="87">
        <v>355</v>
      </c>
      <c r="C361" s="88"/>
      <c r="D361" s="74"/>
      <c r="E361" s="74"/>
      <c r="F361" s="84" t="str">
        <f t="shared" si="5"/>
        <v/>
      </c>
      <c r="G361" s="89" t="str">
        <f>IF(F361="","",VLOOKUP($C361,CadSet!$C$7:$E$26,2,FALSE))</f>
        <v/>
      </c>
      <c r="H361" s="90" t="str">
        <f>IF(G361="","",VLOOKUP($C361,CadSet!$C$7:$E$26,3,FALSE))</f>
        <v/>
      </c>
      <c r="I361" s="91" t="str">
        <f>IF(F361="","",COUNTIFS(tbLancamentos[Equipamento],F361,tbLancamentos[Momento da falha],"&gt;="&amp;Res!$C$9,tbLancamentos[Momento da falha],"&lt;"&amp;Res!$O$9)+K361)</f>
        <v/>
      </c>
      <c r="J361" s="83" t="str">
        <f>IF(F361="","",SUMIFS(tbLancamentos[Tempo indisponível],tbLancamentos[Equipamento],F361,tbLancamentos[Momento da falha],"&gt;="&amp;Res!$C$9,tbLancamentos[Momento da falha],"&lt;"&amp;Res!$O$9)+K361)</f>
        <v/>
      </c>
      <c r="K361" s="79">
        <v>9.6459999999997E-5</v>
      </c>
      <c r="L361" s="71" t="str">
        <f>IF(F361="","",IFERROR(COUNTIFS(tbLancamentos[Equipamento],F361,tbLancamentos[Momento da falha],"&gt;"&amp;0,tbLancamentos[Momento do retorno],""),0))</f>
        <v/>
      </c>
    </row>
    <row r="362" spans="2:12" ht="20.100000000000001" customHeight="1" x14ac:dyDescent="0.25">
      <c r="B362" s="87">
        <v>356</v>
      </c>
      <c r="C362" s="88"/>
      <c r="D362" s="74"/>
      <c r="E362" s="74"/>
      <c r="F362" s="84" t="str">
        <f t="shared" si="5"/>
        <v/>
      </c>
      <c r="G362" s="89" t="str">
        <f>IF(F362="","",VLOOKUP($C362,CadSet!$C$7:$E$26,2,FALSE))</f>
        <v/>
      </c>
      <c r="H362" s="90" t="str">
        <f>IF(G362="","",VLOOKUP($C362,CadSet!$C$7:$E$26,3,FALSE))</f>
        <v/>
      </c>
      <c r="I362" s="91" t="str">
        <f>IF(F362="","",COUNTIFS(tbLancamentos[Equipamento],F362,tbLancamentos[Momento da falha],"&gt;="&amp;Res!$C$9,tbLancamentos[Momento da falha],"&lt;"&amp;Res!$O$9)+K362)</f>
        <v/>
      </c>
      <c r="J362" s="83" t="str">
        <f>IF(F362="","",SUMIFS(tbLancamentos[Tempo indisponível],tbLancamentos[Equipamento],F362,tbLancamentos[Momento da falha],"&gt;="&amp;Res!$C$9,tbLancamentos[Momento da falha],"&lt;"&amp;Res!$O$9)+K362)</f>
        <v/>
      </c>
      <c r="K362" s="79">
        <v>9.6449999999997005E-5</v>
      </c>
      <c r="L362" s="71" t="str">
        <f>IF(F362="","",IFERROR(COUNTIFS(tbLancamentos[Equipamento],F362,tbLancamentos[Momento da falha],"&gt;"&amp;0,tbLancamentos[Momento do retorno],""),0))</f>
        <v/>
      </c>
    </row>
    <row r="363" spans="2:12" ht="20.100000000000001" customHeight="1" x14ac:dyDescent="0.25">
      <c r="B363" s="87">
        <v>357</v>
      </c>
      <c r="C363" s="88"/>
      <c r="D363" s="74"/>
      <c r="E363" s="74"/>
      <c r="F363" s="84" t="str">
        <f t="shared" si="5"/>
        <v/>
      </c>
      <c r="G363" s="89" t="str">
        <f>IF(F363="","",VLOOKUP($C363,CadSet!$C$7:$E$26,2,FALSE))</f>
        <v/>
      </c>
      <c r="H363" s="90" t="str">
        <f>IF(G363="","",VLOOKUP($C363,CadSet!$C$7:$E$26,3,FALSE))</f>
        <v/>
      </c>
      <c r="I363" s="91" t="str">
        <f>IF(F363="","",COUNTIFS(tbLancamentos[Equipamento],F363,tbLancamentos[Momento da falha],"&gt;="&amp;Res!$C$9,tbLancamentos[Momento da falha],"&lt;"&amp;Res!$O$9)+K363)</f>
        <v/>
      </c>
      <c r="J363" s="83" t="str">
        <f>IF(F363="","",SUMIFS(tbLancamentos[Tempo indisponível],tbLancamentos[Equipamento],F363,tbLancamentos[Momento da falha],"&gt;="&amp;Res!$C$9,tbLancamentos[Momento da falha],"&lt;"&amp;Res!$O$9)+K363)</f>
        <v/>
      </c>
      <c r="K363" s="79">
        <v>9.6439999999996996E-5</v>
      </c>
      <c r="L363" s="71" t="str">
        <f>IF(F363="","",IFERROR(COUNTIFS(tbLancamentos[Equipamento],F363,tbLancamentos[Momento da falha],"&gt;"&amp;0,tbLancamentos[Momento do retorno],""),0))</f>
        <v/>
      </c>
    </row>
    <row r="364" spans="2:12" ht="20.100000000000001" customHeight="1" x14ac:dyDescent="0.25">
      <c r="B364" s="87">
        <v>358</v>
      </c>
      <c r="C364" s="88"/>
      <c r="D364" s="74"/>
      <c r="E364" s="74"/>
      <c r="F364" s="84" t="str">
        <f t="shared" si="5"/>
        <v/>
      </c>
      <c r="G364" s="89" t="str">
        <f>IF(F364="","",VLOOKUP($C364,CadSet!$C$7:$E$26,2,FALSE))</f>
        <v/>
      </c>
      <c r="H364" s="90" t="str">
        <f>IF(G364="","",VLOOKUP($C364,CadSet!$C$7:$E$26,3,FALSE))</f>
        <v/>
      </c>
      <c r="I364" s="91" t="str">
        <f>IF(F364="","",COUNTIFS(tbLancamentos[Equipamento],F364,tbLancamentos[Momento da falha],"&gt;="&amp;Res!$C$9,tbLancamentos[Momento da falha],"&lt;"&amp;Res!$O$9)+K364)</f>
        <v/>
      </c>
      <c r="J364" s="83" t="str">
        <f>IF(F364="","",SUMIFS(tbLancamentos[Tempo indisponível],tbLancamentos[Equipamento],F364,tbLancamentos[Momento da falha],"&gt;="&amp;Res!$C$9,tbLancamentos[Momento da falha],"&lt;"&amp;Res!$O$9)+K364)</f>
        <v/>
      </c>
      <c r="K364" s="79">
        <v>9.6429999999997002E-5</v>
      </c>
      <c r="L364" s="71" t="str">
        <f>IF(F364="","",IFERROR(COUNTIFS(tbLancamentos[Equipamento],F364,tbLancamentos[Momento da falha],"&gt;"&amp;0,tbLancamentos[Momento do retorno],""),0))</f>
        <v/>
      </c>
    </row>
    <row r="365" spans="2:12" ht="20.100000000000001" customHeight="1" x14ac:dyDescent="0.25">
      <c r="B365" s="87">
        <v>359</v>
      </c>
      <c r="C365" s="88"/>
      <c r="D365" s="74"/>
      <c r="E365" s="74"/>
      <c r="F365" s="84" t="str">
        <f t="shared" si="5"/>
        <v/>
      </c>
      <c r="G365" s="89" t="str">
        <f>IF(F365="","",VLOOKUP($C365,CadSet!$C$7:$E$26,2,FALSE))</f>
        <v/>
      </c>
      <c r="H365" s="90" t="str">
        <f>IF(G365="","",VLOOKUP($C365,CadSet!$C$7:$E$26,3,FALSE))</f>
        <v/>
      </c>
      <c r="I365" s="91" t="str">
        <f>IF(F365="","",COUNTIFS(tbLancamentos[Equipamento],F365,tbLancamentos[Momento da falha],"&gt;="&amp;Res!$C$9,tbLancamentos[Momento da falha],"&lt;"&amp;Res!$O$9)+K365)</f>
        <v/>
      </c>
      <c r="J365" s="83" t="str">
        <f>IF(F365="","",SUMIFS(tbLancamentos[Tempo indisponível],tbLancamentos[Equipamento],F365,tbLancamentos[Momento da falha],"&gt;="&amp;Res!$C$9,tbLancamentos[Momento da falha],"&lt;"&amp;Res!$O$9)+K365)</f>
        <v/>
      </c>
      <c r="K365" s="79">
        <v>9.6419999999997007E-5</v>
      </c>
      <c r="L365" s="71" t="str">
        <f>IF(F365="","",IFERROR(COUNTIFS(tbLancamentos[Equipamento],F365,tbLancamentos[Momento da falha],"&gt;"&amp;0,tbLancamentos[Momento do retorno],""),0))</f>
        <v/>
      </c>
    </row>
    <row r="366" spans="2:12" ht="20.100000000000001" customHeight="1" x14ac:dyDescent="0.25">
      <c r="B366" s="87">
        <v>360</v>
      </c>
      <c r="C366" s="88"/>
      <c r="D366" s="74"/>
      <c r="E366" s="74"/>
      <c r="F366" s="84" t="str">
        <f t="shared" si="5"/>
        <v/>
      </c>
      <c r="G366" s="89" t="str">
        <f>IF(F366="","",VLOOKUP($C366,CadSet!$C$7:$E$26,2,FALSE))</f>
        <v/>
      </c>
      <c r="H366" s="90" t="str">
        <f>IF(G366="","",VLOOKUP($C366,CadSet!$C$7:$E$26,3,FALSE))</f>
        <v/>
      </c>
      <c r="I366" s="91" t="str">
        <f>IF(F366="","",COUNTIFS(tbLancamentos[Equipamento],F366,tbLancamentos[Momento da falha],"&gt;="&amp;Res!$C$9,tbLancamentos[Momento da falha],"&lt;"&amp;Res!$O$9)+K366)</f>
        <v/>
      </c>
      <c r="J366" s="83" t="str">
        <f>IF(F366="","",SUMIFS(tbLancamentos[Tempo indisponível],tbLancamentos[Equipamento],F366,tbLancamentos[Momento da falha],"&gt;="&amp;Res!$C$9,tbLancamentos[Momento da falha],"&lt;"&amp;Res!$O$9)+K366)</f>
        <v/>
      </c>
      <c r="K366" s="79">
        <v>9.6409999999996998E-5</v>
      </c>
      <c r="L366" s="71" t="str">
        <f>IF(F366="","",IFERROR(COUNTIFS(tbLancamentos[Equipamento],F366,tbLancamentos[Momento da falha],"&gt;"&amp;0,tbLancamentos[Momento do retorno],""),0))</f>
        <v/>
      </c>
    </row>
    <row r="367" spans="2:12" ht="20.100000000000001" customHeight="1" x14ac:dyDescent="0.25">
      <c r="B367" s="87">
        <v>361</v>
      </c>
      <c r="C367" s="88"/>
      <c r="D367" s="74"/>
      <c r="E367" s="74"/>
      <c r="F367" s="84" t="str">
        <f t="shared" si="5"/>
        <v/>
      </c>
      <c r="G367" s="89" t="str">
        <f>IF(F367="","",VLOOKUP($C367,CadSet!$C$7:$E$26,2,FALSE))</f>
        <v/>
      </c>
      <c r="H367" s="90" t="str">
        <f>IF(G367="","",VLOOKUP($C367,CadSet!$C$7:$E$26,3,FALSE))</f>
        <v/>
      </c>
      <c r="I367" s="91" t="str">
        <f>IF(F367="","",COUNTIFS(tbLancamentos[Equipamento],F367,tbLancamentos[Momento da falha],"&gt;="&amp;Res!$C$9,tbLancamentos[Momento da falha],"&lt;"&amp;Res!$O$9)+K367)</f>
        <v/>
      </c>
      <c r="J367" s="83" t="str">
        <f>IF(F367="","",SUMIFS(tbLancamentos[Tempo indisponível],tbLancamentos[Equipamento],F367,tbLancamentos[Momento da falha],"&gt;="&amp;Res!$C$9,tbLancamentos[Momento da falha],"&lt;"&amp;Res!$O$9)+K367)</f>
        <v/>
      </c>
      <c r="K367" s="79">
        <v>9.6399999999997003E-5</v>
      </c>
      <c r="L367" s="71" t="str">
        <f>IF(F367="","",IFERROR(COUNTIFS(tbLancamentos[Equipamento],F367,tbLancamentos[Momento da falha],"&gt;"&amp;0,tbLancamentos[Momento do retorno],""),0))</f>
        <v/>
      </c>
    </row>
    <row r="368" spans="2:12" ht="20.100000000000001" customHeight="1" x14ac:dyDescent="0.25">
      <c r="B368" s="87">
        <v>362</v>
      </c>
      <c r="C368" s="88"/>
      <c r="D368" s="74"/>
      <c r="E368" s="74"/>
      <c r="F368" s="84" t="str">
        <f t="shared" si="5"/>
        <v/>
      </c>
      <c r="G368" s="89" t="str">
        <f>IF(F368="","",VLOOKUP($C368,CadSet!$C$7:$E$26,2,FALSE))</f>
        <v/>
      </c>
      <c r="H368" s="90" t="str">
        <f>IF(G368="","",VLOOKUP($C368,CadSet!$C$7:$E$26,3,FALSE))</f>
        <v/>
      </c>
      <c r="I368" s="91" t="str">
        <f>IF(F368="","",COUNTIFS(tbLancamentos[Equipamento],F368,tbLancamentos[Momento da falha],"&gt;="&amp;Res!$C$9,tbLancamentos[Momento da falha],"&lt;"&amp;Res!$O$9)+K368)</f>
        <v/>
      </c>
      <c r="J368" s="83" t="str">
        <f>IF(F368="","",SUMIFS(tbLancamentos[Tempo indisponível],tbLancamentos[Equipamento],F368,tbLancamentos[Momento da falha],"&gt;="&amp;Res!$C$9,tbLancamentos[Momento da falha],"&lt;"&amp;Res!$O$9)+K368)</f>
        <v/>
      </c>
      <c r="K368" s="79">
        <v>9.6389999999996995E-5</v>
      </c>
      <c r="L368" s="71" t="str">
        <f>IF(F368="","",IFERROR(COUNTIFS(tbLancamentos[Equipamento],F368,tbLancamentos[Momento da falha],"&gt;"&amp;0,tbLancamentos[Momento do retorno],""),0))</f>
        <v/>
      </c>
    </row>
    <row r="369" spans="2:12" ht="20.100000000000001" customHeight="1" x14ac:dyDescent="0.25">
      <c r="B369" s="87">
        <v>363</v>
      </c>
      <c r="C369" s="88"/>
      <c r="D369" s="74"/>
      <c r="E369" s="74"/>
      <c r="F369" s="84" t="str">
        <f t="shared" si="5"/>
        <v/>
      </c>
      <c r="G369" s="89" t="str">
        <f>IF(F369="","",VLOOKUP($C369,CadSet!$C$7:$E$26,2,FALSE))</f>
        <v/>
      </c>
      <c r="H369" s="90" t="str">
        <f>IF(G369="","",VLOOKUP($C369,CadSet!$C$7:$E$26,3,FALSE))</f>
        <v/>
      </c>
      <c r="I369" s="91" t="str">
        <f>IF(F369="","",COUNTIFS(tbLancamentos[Equipamento],F369,tbLancamentos[Momento da falha],"&gt;="&amp;Res!$C$9,tbLancamentos[Momento da falha],"&lt;"&amp;Res!$O$9)+K369)</f>
        <v/>
      </c>
      <c r="J369" s="83" t="str">
        <f>IF(F369="","",SUMIFS(tbLancamentos[Tempo indisponível],tbLancamentos[Equipamento],F369,tbLancamentos[Momento da falha],"&gt;="&amp;Res!$C$9,tbLancamentos[Momento da falha],"&lt;"&amp;Res!$O$9)+K369)</f>
        <v/>
      </c>
      <c r="K369" s="79">
        <v>9.6379999999997E-5</v>
      </c>
      <c r="L369" s="71" t="str">
        <f>IF(F369="","",IFERROR(COUNTIFS(tbLancamentos[Equipamento],F369,tbLancamentos[Momento da falha],"&gt;"&amp;0,tbLancamentos[Momento do retorno],""),0))</f>
        <v/>
      </c>
    </row>
    <row r="370" spans="2:12" ht="20.100000000000001" customHeight="1" x14ac:dyDescent="0.25">
      <c r="B370" s="87">
        <v>364</v>
      </c>
      <c r="C370" s="88"/>
      <c r="D370" s="74"/>
      <c r="E370" s="74"/>
      <c r="F370" s="84" t="str">
        <f t="shared" si="5"/>
        <v/>
      </c>
      <c r="G370" s="89" t="str">
        <f>IF(F370="","",VLOOKUP($C370,CadSet!$C$7:$E$26,2,FALSE))</f>
        <v/>
      </c>
      <c r="H370" s="90" t="str">
        <f>IF(G370="","",VLOOKUP($C370,CadSet!$C$7:$E$26,3,FALSE))</f>
        <v/>
      </c>
      <c r="I370" s="91" t="str">
        <f>IF(F370="","",COUNTIFS(tbLancamentos[Equipamento],F370,tbLancamentos[Momento da falha],"&gt;="&amp;Res!$C$9,tbLancamentos[Momento da falha],"&lt;"&amp;Res!$O$9)+K370)</f>
        <v/>
      </c>
      <c r="J370" s="83" t="str">
        <f>IF(F370="","",SUMIFS(tbLancamentos[Tempo indisponível],tbLancamentos[Equipamento],F370,tbLancamentos[Momento da falha],"&gt;="&amp;Res!$C$9,tbLancamentos[Momento da falha],"&lt;"&amp;Res!$O$9)+K370)</f>
        <v/>
      </c>
      <c r="K370" s="79">
        <v>9.6369999999997005E-5</v>
      </c>
      <c r="L370" s="71" t="str">
        <f>IF(F370="","",IFERROR(COUNTIFS(tbLancamentos[Equipamento],F370,tbLancamentos[Momento da falha],"&gt;"&amp;0,tbLancamentos[Momento do retorno],""),0))</f>
        <v/>
      </c>
    </row>
    <row r="371" spans="2:12" ht="20.100000000000001" customHeight="1" x14ac:dyDescent="0.25">
      <c r="B371" s="87">
        <v>365</v>
      </c>
      <c r="C371" s="88"/>
      <c r="D371" s="74"/>
      <c r="E371" s="74"/>
      <c r="F371" s="84" t="str">
        <f t="shared" si="5"/>
        <v/>
      </c>
      <c r="G371" s="89" t="str">
        <f>IF(F371="","",VLOOKUP($C371,CadSet!$C$7:$E$26,2,FALSE))</f>
        <v/>
      </c>
      <c r="H371" s="90" t="str">
        <f>IF(G371="","",VLOOKUP($C371,CadSet!$C$7:$E$26,3,FALSE))</f>
        <v/>
      </c>
      <c r="I371" s="91" t="str">
        <f>IF(F371="","",COUNTIFS(tbLancamentos[Equipamento],F371,tbLancamentos[Momento da falha],"&gt;="&amp;Res!$C$9,tbLancamentos[Momento da falha],"&lt;"&amp;Res!$O$9)+K371)</f>
        <v/>
      </c>
      <c r="J371" s="83" t="str">
        <f>IF(F371="","",SUMIFS(tbLancamentos[Tempo indisponível],tbLancamentos[Equipamento],F371,tbLancamentos[Momento da falha],"&gt;="&amp;Res!$C$9,tbLancamentos[Momento da falha],"&lt;"&amp;Res!$O$9)+K371)</f>
        <v/>
      </c>
      <c r="K371" s="79">
        <v>9.6359999999996997E-5</v>
      </c>
      <c r="L371" s="71" t="str">
        <f>IF(F371="","",IFERROR(COUNTIFS(tbLancamentos[Equipamento],F371,tbLancamentos[Momento da falha],"&gt;"&amp;0,tbLancamentos[Momento do retorno],""),0))</f>
        <v/>
      </c>
    </row>
    <row r="372" spans="2:12" ht="20.100000000000001" customHeight="1" x14ac:dyDescent="0.25">
      <c r="B372" s="87">
        <v>366</v>
      </c>
      <c r="C372" s="88"/>
      <c r="D372" s="74"/>
      <c r="E372" s="74"/>
      <c r="F372" s="84" t="str">
        <f t="shared" si="5"/>
        <v/>
      </c>
      <c r="G372" s="89" t="str">
        <f>IF(F372="","",VLOOKUP($C372,CadSet!$C$7:$E$26,2,FALSE))</f>
        <v/>
      </c>
      <c r="H372" s="90" t="str">
        <f>IF(G372="","",VLOOKUP($C372,CadSet!$C$7:$E$26,3,FALSE))</f>
        <v/>
      </c>
      <c r="I372" s="91" t="str">
        <f>IF(F372="","",COUNTIFS(tbLancamentos[Equipamento],F372,tbLancamentos[Momento da falha],"&gt;="&amp;Res!$C$9,tbLancamentos[Momento da falha],"&lt;"&amp;Res!$O$9)+K372)</f>
        <v/>
      </c>
      <c r="J372" s="83" t="str">
        <f>IF(F372="","",SUMIFS(tbLancamentos[Tempo indisponível],tbLancamentos[Equipamento],F372,tbLancamentos[Momento da falha],"&gt;="&amp;Res!$C$9,tbLancamentos[Momento da falha],"&lt;"&amp;Res!$O$9)+K372)</f>
        <v/>
      </c>
      <c r="K372" s="79">
        <v>9.6349999999996894E-5</v>
      </c>
      <c r="L372" s="71" t="str">
        <f>IF(F372="","",IFERROR(COUNTIFS(tbLancamentos[Equipamento],F372,tbLancamentos[Momento da falha],"&gt;"&amp;0,tbLancamentos[Momento do retorno],""),0))</f>
        <v/>
      </c>
    </row>
    <row r="373" spans="2:12" ht="20.100000000000001" customHeight="1" x14ac:dyDescent="0.25">
      <c r="B373" s="87">
        <v>367</v>
      </c>
      <c r="C373" s="88"/>
      <c r="D373" s="74"/>
      <c r="E373" s="74"/>
      <c r="F373" s="84" t="str">
        <f t="shared" si="5"/>
        <v/>
      </c>
      <c r="G373" s="89" t="str">
        <f>IF(F373="","",VLOOKUP($C373,CadSet!$C$7:$E$26,2,FALSE))</f>
        <v/>
      </c>
      <c r="H373" s="90" t="str">
        <f>IF(G373="","",VLOOKUP($C373,CadSet!$C$7:$E$26,3,FALSE))</f>
        <v/>
      </c>
      <c r="I373" s="91" t="str">
        <f>IF(F373="","",COUNTIFS(tbLancamentos[Equipamento],F373,tbLancamentos[Momento da falha],"&gt;="&amp;Res!$C$9,tbLancamentos[Momento da falha],"&lt;"&amp;Res!$O$9)+K373)</f>
        <v/>
      </c>
      <c r="J373" s="83" t="str">
        <f>IF(F373="","",SUMIFS(tbLancamentos[Tempo indisponível],tbLancamentos[Equipamento],F373,tbLancamentos[Momento da falha],"&gt;="&amp;Res!$C$9,tbLancamentos[Momento da falha],"&lt;"&amp;Res!$O$9)+K373)</f>
        <v/>
      </c>
      <c r="K373" s="79">
        <v>9.6339999999996899E-5</v>
      </c>
      <c r="L373" s="71" t="str">
        <f>IF(F373="","",IFERROR(COUNTIFS(tbLancamentos[Equipamento],F373,tbLancamentos[Momento da falha],"&gt;"&amp;0,tbLancamentos[Momento do retorno],""),0))</f>
        <v/>
      </c>
    </row>
    <row r="374" spans="2:12" ht="20.100000000000001" customHeight="1" x14ac:dyDescent="0.25">
      <c r="B374" s="87">
        <v>368</v>
      </c>
      <c r="C374" s="88"/>
      <c r="D374" s="74"/>
      <c r="E374" s="74"/>
      <c r="F374" s="84" t="str">
        <f t="shared" si="5"/>
        <v/>
      </c>
      <c r="G374" s="89" t="str">
        <f>IF(F374="","",VLOOKUP($C374,CadSet!$C$7:$E$26,2,FALSE))</f>
        <v/>
      </c>
      <c r="H374" s="90" t="str">
        <f>IF(G374="","",VLOOKUP($C374,CadSet!$C$7:$E$26,3,FALSE))</f>
        <v/>
      </c>
      <c r="I374" s="91" t="str">
        <f>IF(F374="","",COUNTIFS(tbLancamentos[Equipamento],F374,tbLancamentos[Momento da falha],"&gt;="&amp;Res!$C$9,tbLancamentos[Momento da falha],"&lt;"&amp;Res!$O$9)+K374)</f>
        <v/>
      </c>
      <c r="J374" s="83" t="str">
        <f>IF(F374="","",SUMIFS(tbLancamentos[Tempo indisponível],tbLancamentos[Equipamento],F374,tbLancamentos[Momento da falha],"&gt;="&amp;Res!$C$9,tbLancamentos[Momento da falha],"&lt;"&amp;Res!$O$9)+K374)</f>
        <v/>
      </c>
      <c r="K374" s="79">
        <v>9.6329999999996904E-5</v>
      </c>
      <c r="L374" s="71" t="str">
        <f>IF(F374="","",IFERROR(COUNTIFS(tbLancamentos[Equipamento],F374,tbLancamentos[Momento da falha],"&gt;"&amp;0,tbLancamentos[Momento do retorno],""),0))</f>
        <v/>
      </c>
    </row>
    <row r="375" spans="2:12" ht="20.100000000000001" customHeight="1" x14ac:dyDescent="0.25">
      <c r="B375" s="87">
        <v>369</v>
      </c>
      <c r="C375" s="88"/>
      <c r="D375" s="74"/>
      <c r="E375" s="74"/>
      <c r="F375" s="84" t="str">
        <f t="shared" si="5"/>
        <v/>
      </c>
      <c r="G375" s="89" t="str">
        <f>IF(F375="","",VLOOKUP($C375,CadSet!$C$7:$E$26,2,FALSE))</f>
        <v/>
      </c>
      <c r="H375" s="90" t="str">
        <f>IF(G375="","",VLOOKUP($C375,CadSet!$C$7:$E$26,3,FALSE))</f>
        <v/>
      </c>
      <c r="I375" s="91" t="str">
        <f>IF(F375="","",COUNTIFS(tbLancamentos[Equipamento],F375,tbLancamentos[Momento da falha],"&gt;="&amp;Res!$C$9,tbLancamentos[Momento da falha],"&lt;"&amp;Res!$O$9)+K375)</f>
        <v/>
      </c>
      <c r="J375" s="83" t="str">
        <f>IF(F375="","",SUMIFS(tbLancamentos[Tempo indisponível],tbLancamentos[Equipamento],F375,tbLancamentos[Momento da falha],"&gt;="&amp;Res!$C$9,tbLancamentos[Momento da falha],"&lt;"&amp;Res!$O$9)+K375)</f>
        <v/>
      </c>
      <c r="K375" s="79">
        <v>9.6319999999996896E-5</v>
      </c>
      <c r="L375" s="71" t="str">
        <f>IF(F375="","",IFERROR(COUNTIFS(tbLancamentos[Equipamento],F375,tbLancamentos[Momento da falha],"&gt;"&amp;0,tbLancamentos[Momento do retorno],""),0))</f>
        <v/>
      </c>
    </row>
    <row r="376" spans="2:12" ht="20.100000000000001" customHeight="1" x14ac:dyDescent="0.25">
      <c r="B376" s="87">
        <v>370</v>
      </c>
      <c r="C376" s="88"/>
      <c r="D376" s="74"/>
      <c r="E376" s="74"/>
      <c r="F376" s="84" t="str">
        <f t="shared" si="5"/>
        <v/>
      </c>
      <c r="G376" s="89" t="str">
        <f>IF(F376="","",VLOOKUP($C376,CadSet!$C$7:$E$26,2,FALSE))</f>
        <v/>
      </c>
      <c r="H376" s="90" t="str">
        <f>IF(G376="","",VLOOKUP($C376,CadSet!$C$7:$E$26,3,FALSE))</f>
        <v/>
      </c>
      <c r="I376" s="91" t="str">
        <f>IF(F376="","",COUNTIFS(tbLancamentos[Equipamento],F376,tbLancamentos[Momento da falha],"&gt;="&amp;Res!$C$9,tbLancamentos[Momento da falha],"&lt;"&amp;Res!$O$9)+K376)</f>
        <v/>
      </c>
      <c r="J376" s="83" t="str">
        <f>IF(F376="","",SUMIFS(tbLancamentos[Tempo indisponível],tbLancamentos[Equipamento],F376,tbLancamentos[Momento da falha],"&gt;="&amp;Res!$C$9,tbLancamentos[Momento da falha],"&lt;"&amp;Res!$O$9)+K376)</f>
        <v/>
      </c>
      <c r="K376" s="79">
        <v>9.6309999999996901E-5</v>
      </c>
      <c r="L376" s="71" t="str">
        <f>IF(F376="","",IFERROR(COUNTIFS(tbLancamentos[Equipamento],F376,tbLancamentos[Momento da falha],"&gt;"&amp;0,tbLancamentos[Momento do retorno],""),0))</f>
        <v/>
      </c>
    </row>
    <row r="377" spans="2:12" ht="20.100000000000001" customHeight="1" x14ac:dyDescent="0.25">
      <c r="B377" s="87">
        <v>371</v>
      </c>
      <c r="C377" s="88"/>
      <c r="D377" s="74"/>
      <c r="E377" s="74"/>
      <c r="F377" s="84" t="str">
        <f t="shared" si="5"/>
        <v/>
      </c>
      <c r="G377" s="89" t="str">
        <f>IF(F377="","",VLOOKUP($C377,CadSet!$C$7:$E$26,2,FALSE))</f>
        <v/>
      </c>
      <c r="H377" s="90" t="str">
        <f>IF(G377="","",VLOOKUP($C377,CadSet!$C$7:$E$26,3,FALSE))</f>
        <v/>
      </c>
      <c r="I377" s="91" t="str">
        <f>IF(F377="","",COUNTIFS(tbLancamentos[Equipamento],F377,tbLancamentos[Momento da falha],"&gt;="&amp;Res!$C$9,tbLancamentos[Momento da falha],"&lt;"&amp;Res!$O$9)+K377)</f>
        <v/>
      </c>
      <c r="J377" s="83" t="str">
        <f>IF(F377="","",SUMIFS(tbLancamentos[Tempo indisponível],tbLancamentos[Equipamento],F377,tbLancamentos[Momento da falha],"&gt;="&amp;Res!$C$9,tbLancamentos[Momento da falha],"&lt;"&amp;Res!$O$9)+K377)</f>
        <v/>
      </c>
      <c r="K377" s="79">
        <v>9.6299999999996906E-5</v>
      </c>
      <c r="L377" s="71" t="str">
        <f>IF(F377="","",IFERROR(COUNTIFS(tbLancamentos[Equipamento],F377,tbLancamentos[Momento da falha],"&gt;"&amp;0,tbLancamentos[Momento do retorno],""),0))</f>
        <v/>
      </c>
    </row>
    <row r="378" spans="2:12" ht="20.100000000000001" customHeight="1" x14ac:dyDescent="0.25">
      <c r="B378" s="87">
        <v>372</v>
      </c>
      <c r="C378" s="88"/>
      <c r="D378" s="74"/>
      <c r="E378" s="74"/>
      <c r="F378" s="84" t="str">
        <f t="shared" si="5"/>
        <v/>
      </c>
      <c r="G378" s="89" t="str">
        <f>IF(F378="","",VLOOKUP($C378,CadSet!$C$7:$E$26,2,FALSE))</f>
        <v/>
      </c>
      <c r="H378" s="90" t="str">
        <f>IF(G378="","",VLOOKUP($C378,CadSet!$C$7:$E$26,3,FALSE))</f>
        <v/>
      </c>
      <c r="I378" s="91" t="str">
        <f>IF(F378="","",COUNTIFS(tbLancamentos[Equipamento],F378,tbLancamentos[Momento da falha],"&gt;="&amp;Res!$C$9,tbLancamentos[Momento da falha],"&lt;"&amp;Res!$O$9)+K378)</f>
        <v/>
      </c>
      <c r="J378" s="83" t="str">
        <f>IF(F378="","",SUMIFS(tbLancamentos[Tempo indisponível],tbLancamentos[Equipamento],F378,tbLancamentos[Momento da falha],"&gt;="&amp;Res!$C$9,tbLancamentos[Momento da falha],"&lt;"&amp;Res!$O$9)+K378)</f>
        <v/>
      </c>
      <c r="K378" s="79">
        <v>9.6289999999996898E-5</v>
      </c>
      <c r="L378" s="71" t="str">
        <f>IF(F378="","",IFERROR(COUNTIFS(tbLancamentos[Equipamento],F378,tbLancamentos[Momento da falha],"&gt;"&amp;0,tbLancamentos[Momento do retorno],""),0))</f>
        <v/>
      </c>
    </row>
    <row r="379" spans="2:12" ht="20.100000000000001" customHeight="1" x14ac:dyDescent="0.25">
      <c r="B379" s="87">
        <v>373</v>
      </c>
      <c r="C379" s="88"/>
      <c r="D379" s="74"/>
      <c r="E379" s="74"/>
      <c r="F379" s="84" t="str">
        <f t="shared" si="5"/>
        <v/>
      </c>
      <c r="G379" s="89" t="str">
        <f>IF(F379="","",VLOOKUP($C379,CadSet!$C$7:$E$26,2,FALSE))</f>
        <v/>
      </c>
      <c r="H379" s="90" t="str">
        <f>IF(G379="","",VLOOKUP($C379,CadSet!$C$7:$E$26,3,FALSE))</f>
        <v/>
      </c>
      <c r="I379" s="91" t="str">
        <f>IF(F379="","",COUNTIFS(tbLancamentos[Equipamento],F379,tbLancamentos[Momento da falha],"&gt;="&amp;Res!$C$9,tbLancamentos[Momento da falha],"&lt;"&amp;Res!$O$9)+K379)</f>
        <v/>
      </c>
      <c r="J379" s="83" t="str">
        <f>IF(F379="","",SUMIFS(tbLancamentos[Tempo indisponível],tbLancamentos[Equipamento],F379,tbLancamentos[Momento da falha],"&gt;="&amp;Res!$C$9,tbLancamentos[Momento da falha],"&lt;"&amp;Res!$O$9)+K379)</f>
        <v/>
      </c>
      <c r="K379" s="79">
        <v>9.6279999999996903E-5</v>
      </c>
      <c r="L379" s="71" t="str">
        <f>IF(F379="","",IFERROR(COUNTIFS(tbLancamentos[Equipamento],F379,tbLancamentos[Momento da falha],"&gt;"&amp;0,tbLancamentos[Momento do retorno],""),0))</f>
        <v/>
      </c>
    </row>
    <row r="380" spans="2:12" ht="20.100000000000001" customHeight="1" x14ac:dyDescent="0.25">
      <c r="B380" s="87">
        <v>374</v>
      </c>
      <c r="C380" s="88"/>
      <c r="D380" s="74"/>
      <c r="E380" s="74"/>
      <c r="F380" s="84" t="str">
        <f t="shared" si="5"/>
        <v/>
      </c>
      <c r="G380" s="89" t="str">
        <f>IF(F380="","",VLOOKUP($C380,CadSet!$C$7:$E$26,2,FALSE))</f>
        <v/>
      </c>
      <c r="H380" s="90" t="str">
        <f>IF(G380="","",VLOOKUP($C380,CadSet!$C$7:$E$26,3,FALSE))</f>
        <v/>
      </c>
      <c r="I380" s="91" t="str">
        <f>IF(F380="","",COUNTIFS(tbLancamentos[Equipamento],F380,tbLancamentos[Momento da falha],"&gt;="&amp;Res!$C$9,tbLancamentos[Momento da falha],"&lt;"&amp;Res!$O$9)+K380)</f>
        <v/>
      </c>
      <c r="J380" s="83" t="str">
        <f>IF(F380="","",SUMIFS(tbLancamentos[Tempo indisponível],tbLancamentos[Equipamento],F380,tbLancamentos[Momento da falha],"&gt;="&amp;Res!$C$9,tbLancamentos[Momento da falha],"&lt;"&amp;Res!$O$9)+K380)</f>
        <v/>
      </c>
      <c r="K380" s="79">
        <v>9.6269999999996895E-5</v>
      </c>
      <c r="L380" s="71" t="str">
        <f>IF(F380="","",IFERROR(COUNTIFS(tbLancamentos[Equipamento],F380,tbLancamentos[Momento da falha],"&gt;"&amp;0,tbLancamentos[Momento do retorno],""),0))</f>
        <v/>
      </c>
    </row>
    <row r="381" spans="2:12" ht="20.100000000000001" customHeight="1" x14ac:dyDescent="0.25">
      <c r="B381" s="87">
        <v>375</v>
      </c>
      <c r="C381" s="88"/>
      <c r="D381" s="74"/>
      <c r="E381" s="74"/>
      <c r="F381" s="84" t="str">
        <f t="shared" si="5"/>
        <v/>
      </c>
      <c r="G381" s="89" t="str">
        <f>IF(F381="","",VLOOKUP($C381,CadSet!$C$7:$E$26,2,FALSE))</f>
        <v/>
      </c>
      <c r="H381" s="90" t="str">
        <f>IF(G381="","",VLOOKUP($C381,CadSet!$C$7:$E$26,3,FALSE))</f>
        <v/>
      </c>
      <c r="I381" s="91" t="str">
        <f>IF(F381="","",COUNTIFS(tbLancamentos[Equipamento],F381,tbLancamentos[Momento da falha],"&gt;="&amp;Res!$C$9,tbLancamentos[Momento da falha],"&lt;"&amp;Res!$O$9)+K381)</f>
        <v/>
      </c>
      <c r="J381" s="83" t="str">
        <f>IF(F381="","",SUMIFS(tbLancamentos[Tempo indisponível],tbLancamentos[Equipamento],F381,tbLancamentos[Momento da falha],"&gt;="&amp;Res!$C$9,tbLancamentos[Momento da falha],"&lt;"&amp;Res!$O$9)+K381)</f>
        <v/>
      </c>
      <c r="K381" s="79">
        <v>9.62599999999969E-5</v>
      </c>
      <c r="L381" s="71" t="str">
        <f>IF(F381="","",IFERROR(COUNTIFS(tbLancamentos[Equipamento],F381,tbLancamentos[Momento da falha],"&gt;"&amp;0,tbLancamentos[Momento do retorno],""),0))</f>
        <v/>
      </c>
    </row>
    <row r="382" spans="2:12" ht="20.100000000000001" customHeight="1" x14ac:dyDescent="0.25">
      <c r="B382" s="87">
        <v>376</v>
      </c>
      <c r="C382" s="88"/>
      <c r="D382" s="74"/>
      <c r="E382" s="74"/>
      <c r="F382" s="84" t="str">
        <f t="shared" si="5"/>
        <v/>
      </c>
      <c r="G382" s="89" t="str">
        <f>IF(F382="","",VLOOKUP($C382,CadSet!$C$7:$E$26,2,FALSE))</f>
        <v/>
      </c>
      <c r="H382" s="90" t="str">
        <f>IF(G382="","",VLOOKUP($C382,CadSet!$C$7:$E$26,3,FALSE))</f>
        <v/>
      </c>
      <c r="I382" s="91" t="str">
        <f>IF(F382="","",COUNTIFS(tbLancamentos[Equipamento],F382,tbLancamentos[Momento da falha],"&gt;="&amp;Res!$C$9,tbLancamentos[Momento da falha],"&lt;"&amp;Res!$O$9)+K382)</f>
        <v/>
      </c>
      <c r="J382" s="83" t="str">
        <f>IF(F382="","",SUMIFS(tbLancamentos[Tempo indisponível],tbLancamentos[Equipamento],F382,tbLancamentos[Momento da falha],"&gt;="&amp;Res!$C$9,tbLancamentos[Momento da falha],"&lt;"&amp;Res!$O$9)+K382)</f>
        <v/>
      </c>
      <c r="K382" s="79">
        <v>9.6249999999996905E-5</v>
      </c>
      <c r="L382" s="71" t="str">
        <f>IF(F382="","",IFERROR(COUNTIFS(tbLancamentos[Equipamento],F382,tbLancamentos[Momento da falha],"&gt;"&amp;0,tbLancamentos[Momento do retorno],""),0))</f>
        <v/>
      </c>
    </row>
    <row r="383" spans="2:12" ht="20.100000000000001" customHeight="1" x14ac:dyDescent="0.25">
      <c r="B383" s="87">
        <v>377</v>
      </c>
      <c r="C383" s="88"/>
      <c r="D383" s="74"/>
      <c r="E383" s="74"/>
      <c r="F383" s="84" t="str">
        <f t="shared" si="5"/>
        <v/>
      </c>
      <c r="G383" s="89" t="str">
        <f>IF(F383="","",VLOOKUP($C383,CadSet!$C$7:$E$26,2,FALSE))</f>
        <v/>
      </c>
      <c r="H383" s="90" t="str">
        <f>IF(G383="","",VLOOKUP($C383,CadSet!$C$7:$E$26,3,FALSE))</f>
        <v/>
      </c>
      <c r="I383" s="91" t="str">
        <f>IF(F383="","",COUNTIFS(tbLancamentos[Equipamento],F383,tbLancamentos[Momento da falha],"&gt;="&amp;Res!$C$9,tbLancamentos[Momento da falha],"&lt;"&amp;Res!$O$9)+K383)</f>
        <v/>
      </c>
      <c r="J383" s="83" t="str">
        <f>IF(F383="","",SUMIFS(tbLancamentos[Tempo indisponível],tbLancamentos[Equipamento],F383,tbLancamentos[Momento da falha],"&gt;="&amp;Res!$C$9,tbLancamentos[Momento da falha],"&lt;"&amp;Res!$O$9)+K383)</f>
        <v/>
      </c>
      <c r="K383" s="79">
        <v>9.6239999999996897E-5</v>
      </c>
      <c r="L383" s="71" t="str">
        <f>IF(F383="","",IFERROR(COUNTIFS(tbLancamentos[Equipamento],F383,tbLancamentos[Momento da falha],"&gt;"&amp;0,tbLancamentos[Momento do retorno],""),0))</f>
        <v/>
      </c>
    </row>
    <row r="384" spans="2:12" ht="20.100000000000001" customHeight="1" x14ac:dyDescent="0.25">
      <c r="B384" s="87">
        <v>378</v>
      </c>
      <c r="C384" s="88"/>
      <c r="D384" s="74"/>
      <c r="E384" s="74"/>
      <c r="F384" s="84" t="str">
        <f t="shared" si="5"/>
        <v/>
      </c>
      <c r="G384" s="89" t="str">
        <f>IF(F384="","",VLOOKUP($C384,CadSet!$C$7:$E$26,2,FALSE))</f>
        <v/>
      </c>
      <c r="H384" s="90" t="str">
        <f>IF(G384="","",VLOOKUP($C384,CadSet!$C$7:$E$26,3,FALSE))</f>
        <v/>
      </c>
      <c r="I384" s="91" t="str">
        <f>IF(F384="","",COUNTIFS(tbLancamentos[Equipamento],F384,tbLancamentos[Momento da falha],"&gt;="&amp;Res!$C$9,tbLancamentos[Momento da falha],"&lt;"&amp;Res!$O$9)+K384)</f>
        <v/>
      </c>
      <c r="J384" s="83" t="str">
        <f>IF(F384="","",SUMIFS(tbLancamentos[Tempo indisponível],tbLancamentos[Equipamento],F384,tbLancamentos[Momento da falha],"&gt;="&amp;Res!$C$9,tbLancamentos[Momento da falha],"&lt;"&amp;Res!$O$9)+K384)</f>
        <v/>
      </c>
      <c r="K384" s="79">
        <v>9.6229999999996793E-5</v>
      </c>
      <c r="L384" s="71" t="str">
        <f>IF(F384="","",IFERROR(COUNTIFS(tbLancamentos[Equipamento],F384,tbLancamentos[Momento da falha],"&gt;"&amp;0,tbLancamentos[Momento do retorno],""),0))</f>
        <v/>
      </c>
    </row>
    <row r="385" spans="2:12" ht="20.100000000000001" customHeight="1" x14ac:dyDescent="0.25">
      <c r="B385" s="87">
        <v>379</v>
      </c>
      <c r="C385" s="88"/>
      <c r="D385" s="74"/>
      <c r="E385" s="74"/>
      <c r="F385" s="84" t="str">
        <f t="shared" si="5"/>
        <v/>
      </c>
      <c r="G385" s="89" t="str">
        <f>IF(F385="","",VLOOKUP($C385,CadSet!$C$7:$E$26,2,FALSE))</f>
        <v/>
      </c>
      <c r="H385" s="90" t="str">
        <f>IF(G385="","",VLOOKUP($C385,CadSet!$C$7:$E$26,3,FALSE))</f>
        <v/>
      </c>
      <c r="I385" s="91" t="str">
        <f>IF(F385="","",COUNTIFS(tbLancamentos[Equipamento],F385,tbLancamentos[Momento da falha],"&gt;="&amp;Res!$C$9,tbLancamentos[Momento da falha],"&lt;"&amp;Res!$O$9)+K385)</f>
        <v/>
      </c>
      <c r="J385" s="83" t="str">
        <f>IF(F385="","",SUMIFS(tbLancamentos[Tempo indisponível],tbLancamentos[Equipamento],F385,tbLancamentos[Momento da falha],"&gt;="&amp;Res!$C$9,tbLancamentos[Momento da falha],"&lt;"&amp;Res!$O$9)+K385)</f>
        <v/>
      </c>
      <c r="K385" s="79">
        <v>9.6219999999996799E-5</v>
      </c>
      <c r="L385" s="71" t="str">
        <f>IF(F385="","",IFERROR(COUNTIFS(tbLancamentos[Equipamento],F385,tbLancamentos[Momento da falha],"&gt;"&amp;0,tbLancamentos[Momento do retorno],""),0))</f>
        <v/>
      </c>
    </row>
    <row r="386" spans="2:12" ht="20.100000000000001" customHeight="1" x14ac:dyDescent="0.25">
      <c r="B386" s="87">
        <v>380</v>
      </c>
      <c r="C386" s="88"/>
      <c r="D386" s="74"/>
      <c r="E386" s="74"/>
      <c r="F386" s="84" t="str">
        <f t="shared" si="5"/>
        <v/>
      </c>
      <c r="G386" s="89" t="str">
        <f>IF(F386="","",VLOOKUP($C386,CadSet!$C$7:$E$26,2,FALSE))</f>
        <v/>
      </c>
      <c r="H386" s="90" t="str">
        <f>IF(G386="","",VLOOKUP($C386,CadSet!$C$7:$E$26,3,FALSE))</f>
        <v/>
      </c>
      <c r="I386" s="91" t="str">
        <f>IF(F386="","",COUNTIFS(tbLancamentos[Equipamento],F386,tbLancamentos[Momento da falha],"&gt;="&amp;Res!$C$9,tbLancamentos[Momento da falha],"&lt;"&amp;Res!$O$9)+K386)</f>
        <v/>
      </c>
      <c r="J386" s="83" t="str">
        <f>IF(F386="","",SUMIFS(tbLancamentos[Tempo indisponível],tbLancamentos[Equipamento],F386,tbLancamentos[Momento da falha],"&gt;="&amp;Res!$C$9,tbLancamentos[Momento da falha],"&lt;"&amp;Res!$O$9)+K386)</f>
        <v/>
      </c>
      <c r="K386" s="79">
        <v>9.6209999999996804E-5</v>
      </c>
      <c r="L386" s="71" t="str">
        <f>IF(F386="","",IFERROR(COUNTIFS(tbLancamentos[Equipamento],F386,tbLancamentos[Momento da falha],"&gt;"&amp;0,tbLancamentos[Momento do retorno],""),0))</f>
        <v/>
      </c>
    </row>
    <row r="387" spans="2:12" ht="20.100000000000001" customHeight="1" x14ac:dyDescent="0.25">
      <c r="B387" s="87">
        <v>381</v>
      </c>
      <c r="C387" s="88"/>
      <c r="D387" s="74"/>
      <c r="E387" s="74"/>
      <c r="F387" s="84" t="str">
        <f t="shared" si="5"/>
        <v/>
      </c>
      <c r="G387" s="89" t="str">
        <f>IF(F387="","",VLOOKUP($C387,CadSet!$C$7:$E$26,2,FALSE))</f>
        <v/>
      </c>
      <c r="H387" s="90" t="str">
        <f>IF(G387="","",VLOOKUP($C387,CadSet!$C$7:$E$26,3,FALSE))</f>
        <v/>
      </c>
      <c r="I387" s="91" t="str">
        <f>IF(F387="","",COUNTIFS(tbLancamentos[Equipamento],F387,tbLancamentos[Momento da falha],"&gt;="&amp;Res!$C$9,tbLancamentos[Momento da falha],"&lt;"&amp;Res!$O$9)+K387)</f>
        <v/>
      </c>
      <c r="J387" s="83" t="str">
        <f>IF(F387="","",SUMIFS(tbLancamentos[Tempo indisponível],tbLancamentos[Equipamento],F387,tbLancamentos[Momento da falha],"&gt;="&amp;Res!$C$9,tbLancamentos[Momento da falha],"&lt;"&amp;Res!$O$9)+K387)</f>
        <v/>
      </c>
      <c r="K387" s="79">
        <v>9.6199999999996795E-5</v>
      </c>
      <c r="L387" s="71" t="str">
        <f>IF(F387="","",IFERROR(COUNTIFS(tbLancamentos[Equipamento],F387,tbLancamentos[Momento da falha],"&gt;"&amp;0,tbLancamentos[Momento do retorno],""),0))</f>
        <v/>
      </c>
    </row>
    <row r="388" spans="2:12" ht="20.100000000000001" customHeight="1" x14ac:dyDescent="0.25">
      <c r="B388" s="87">
        <v>382</v>
      </c>
      <c r="C388" s="88"/>
      <c r="D388" s="74"/>
      <c r="E388" s="74"/>
      <c r="F388" s="84" t="str">
        <f t="shared" si="5"/>
        <v/>
      </c>
      <c r="G388" s="89" t="str">
        <f>IF(F388="","",VLOOKUP($C388,CadSet!$C$7:$E$26,2,FALSE))</f>
        <v/>
      </c>
      <c r="H388" s="90" t="str">
        <f>IF(G388="","",VLOOKUP($C388,CadSet!$C$7:$E$26,3,FALSE))</f>
        <v/>
      </c>
      <c r="I388" s="91" t="str">
        <f>IF(F388="","",COUNTIFS(tbLancamentos[Equipamento],F388,tbLancamentos[Momento da falha],"&gt;="&amp;Res!$C$9,tbLancamentos[Momento da falha],"&lt;"&amp;Res!$O$9)+K388)</f>
        <v/>
      </c>
      <c r="J388" s="83" t="str">
        <f>IF(F388="","",SUMIFS(tbLancamentos[Tempo indisponível],tbLancamentos[Equipamento],F388,tbLancamentos[Momento da falha],"&gt;="&amp;Res!$C$9,tbLancamentos[Momento da falha],"&lt;"&amp;Res!$O$9)+K388)</f>
        <v/>
      </c>
      <c r="K388" s="79">
        <v>9.6189999999996801E-5</v>
      </c>
      <c r="L388" s="71" t="str">
        <f>IF(F388="","",IFERROR(COUNTIFS(tbLancamentos[Equipamento],F388,tbLancamentos[Momento da falha],"&gt;"&amp;0,tbLancamentos[Momento do retorno],""),0))</f>
        <v/>
      </c>
    </row>
    <row r="389" spans="2:12" ht="20.100000000000001" customHeight="1" x14ac:dyDescent="0.25">
      <c r="B389" s="87">
        <v>383</v>
      </c>
      <c r="C389" s="88"/>
      <c r="D389" s="74"/>
      <c r="E389" s="74"/>
      <c r="F389" s="84" t="str">
        <f t="shared" si="5"/>
        <v/>
      </c>
      <c r="G389" s="89" t="str">
        <f>IF(F389="","",VLOOKUP($C389,CadSet!$C$7:$E$26,2,FALSE))</f>
        <v/>
      </c>
      <c r="H389" s="90" t="str">
        <f>IF(G389="","",VLOOKUP($C389,CadSet!$C$7:$E$26,3,FALSE))</f>
        <v/>
      </c>
      <c r="I389" s="91" t="str">
        <f>IF(F389="","",COUNTIFS(tbLancamentos[Equipamento],F389,tbLancamentos[Momento da falha],"&gt;="&amp;Res!$C$9,tbLancamentos[Momento da falha],"&lt;"&amp;Res!$O$9)+K389)</f>
        <v/>
      </c>
      <c r="J389" s="83" t="str">
        <f>IF(F389="","",SUMIFS(tbLancamentos[Tempo indisponível],tbLancamentos[Equipamento],F389,tbLancamentos[Momento da falha],"&gt;="&amp;Res!$C$9,tbLancamentos[Momento da falha],"&lt;"&amp;Res!$O$9)+K389)</f>
        <v/>
      </c>
      <c r="K389" s="79">
        <v>9.6179999999996806E-5</v>
      </c>
      <c r="L389" s="71" t="str">
        <f>IF(F389="","",IFERROR(COUNTIFS(tbLancamentos[Equipamento],F389,tbLancamentos[Momento da falha],"&gt;"&amp;0,tbLancamentos[Momento do retorno],""),0))</f>
        <v/>
      </c>
    </row>
    <row r="390" spans="2:12" ht="20.100000000000001" customHeight="1" x14ac:dyDescent="0.25">
      <c r="B390" s="87">
        <v>384</v>
      </c>
      <c r="C390" s="88"/>
      <c r="D390" s="74"/>
      <c r="E390" s="74"/>
      <c r="F390" s="84" t="str">
        <f t="shared" si="5"/>
        <v/>
      </c>
      <c r="G390" s="89" t="str">
        <f>IF(F390="","",VLOOKUP($C390,CadSet!$C$7:$E$26,2,FALSE))</f>
        <v/>
      </c>
      <c r="H390" s="90" t="str">
        <f>IF(G390="","",VLOOKUP($C390,CadSet!$C$7:$E$26,3,FALSE))</f>
        <v/>
      </c>
      <c r="I390" s="91" t="str">
        <f>IF(F390="","",COUNTIFS(tbLancamentos[Equipamento],F390,tbLancamentos[Momento da falha],"&gt;="&amp;Res!$C$9,tbLancamentos[Momento da falha],"&lt;"&amp;Res!$O$9)+K390)</f>
        <v/>
      </c>
      <c r="J390" s="83" t="str">
        <f>IF(F390="","",SUMIFS(tbLancamentos[Tempo indisponível],tbLancamentos[Equipamento],F390,tbLancamentos[Momento da falha],"&gt;="&amp;Res!$C$9,tbLancamentos[Momento da falha],"&lt;"&amp;Res!$O$9)+K390)</f>
        <v/>
      </c>
      <c r="K390" s="79">
        <v>9.6169999999996797E-5</v>
      </c>
      <c r="L390" s="71" t="str">
        <f>IF(F390="","",IFERROR(COUNTIFS(tbLancamentos[Equipamento],F390,tbLancamentos[Momento da falha],"&gt;"&amp;0,tbLancamentos[Momento do retorno],""),0))</f>
        <v/>
      </c>
    </row>
    <row r="391" spans="2:12" ht="20.100000000000001" customHeight="1" x14ac:dyDescent="0.25">
      <c r="B391" s="87">
        <v>385</v>
      </c>
      <c r="C391" s="88"/>
      <c r="D391" s="74"/>
      <c r="E391" s="74"/>
      <c r="F391" s="84" t="str">
        <f t="shared" si="5"/>
        <v/>
      </c>
      <c r="G391" s="89" t="str">
        <f>IF(F391="","",VLOOKUP($C391,CadSet!$C$7:$E$26,2,FALSE))</f>
        <v/>
      </c>
      <c r="H391" s="90" t="str">
        <f>IF(G391="","",VLOOKUP($C391,CadSet!$C$7:$E$26,3,FALSE))</f>
        <v/>
      </c>
      <c r="I391" s="91" t="str">
        <f>IF(F391="","",COUNTIFS(tbLancamentos[Equipamento],F391,tbLancamentos[Momento da falha],"&gt;="&amp;Res!$C$9,tbLancamentos[Momento da falha],"&lt;"&amp;Res!$O$9)+K391)</f>
        <v/>
      </c>
      <c r="J391" s="83" t="str">
        <f>IF(F391="","",SUMIFS(tbLancamentos[Tempo indisponível],tbLancamentos[Equipamento],F391,tbLancamentos[Momento da falha],"&gt;="&amp;Res!$C$9,tbLancamentos[Momento da falha],"&lt;"&amp;Res!$O$9)+K391)</f>
        <v/>
      </c>
      <c r="K391" s="79">
        <v>9.6159999999996803E-5</v>
      </c>
      <c r="L391" s="71" t="str">
        <f>IF(F391="","",IFERROR(COUNTIFS(tbLancamentos[Equipamento],F391,tbLancamentos[Momento da falha],"&gt;"&amp;0,tbLancamentos[Momento do retorno],""),0))</f>
        <v/>
      </c>
    </row>
    <row r="392" spans="2:12" ht="20.100000000000001" customHeight="1" x14ac:dyDescent="0.25">
      <c r="B392" s="87">
        <v>386</v>
      </c>
      <c r="C392" s="88"/>
      <c r="D392" s="74"/>
      <c r="E392" s="74"/>
      <c r="F392" s="84" t="str">
        <f t="shared" ref="F392:F455" si="6">IF(AND(C392&lt;&gt;"",D392&lt;&gt;""),C392&amp;" - "&amp;D392,"")</f>
        <v/>
      </c>
      <c r="G392" s="89" t="str">
        <f>IF(F392="","",VLOOKUP($C392,CadSet!$C$7:$E$26,2,FALSE))</f>
        <v/>
      </c>
      <c r="H392" s="90" t="str">
        <f>IF(G392="","",VLOOKUP($C392,CadSet!$C$7:$E$26,3,FALSE))</f>
        <v/>
      </c>
      <c r="I392" s="91" t="str">
        <f>IF(F392="","",COUNTIFS(tbLancamentos[Equipamento],F392,tbLancamentos[Momento da falha],"&gt;="&amp;Res!$C$9,tbLancamentos[Momento da falha],"&lt;"&amp;Res!$O$9)+K392)</f>
        <v/>
      </c>
      <c r="J392" s="83" t="str">
        <f>IF(F392="","",SUMIFS(tbLancamentos[Tempo indisponível],tbLancamentos[Equipamento],F392,tbLancamentos[Momento da falha],"&gt;="&amp;Res!$C$9,tbLancamentos[Momento da falha],"&lt;"&amp;Res!$O$9)+K392)</f>
        <v/>
      </c>
      <c r="K392" s="79">
        <v>9.6149999999996794E-5</v>
      </c>
      <c r="L392" s="71" t="str">
        <f>IF(F392="","",IFERROR(COUNTIFS(tbLancamentos[Equipamento],F392,tbLancamentos[Momento da falha],"&gt;"&amp;0,tbLancamentos[Momento do retorno],""),0))</f>
        <v/>
      </c>
    </row>
    <row r="393" spans="2:12" ht="20.100000000000001" customHeight="1" x14ac:dyDescent="0.25">
      <c r="B393" s="87">
        <v>387</v>
      </c>
      <c r="C393" s="88"/>
      <c r="D393" s="74"/>
      <c r="E393" s="74"/>
      <c r="F393" s="84" t="str">
        <f t="shared" si="6"/>
        <v/>
      </c>
      <c r="G393" s="89" t="str">
        <f>IF(F393="","",VLOOKUP($C393,CadSet!$C$7:$E$26,2,FALSE))</f>
        <v/>
      </c>
      <c r="H393" s="90" t="str">
        <f>IF(G393="","",VLOOKUP($C393,CadSet!$C$7:$E$26,3,FALSE))</f>
        <v/>
      </c>
      <c r="I393" s="91" t="str">
        <f>IF(F393="","",COUNTIFS(tbLancamentos[Equipamento],F393,tbLancamentos[Momento da falha],"&gt;="&amp;Res!$C$9,tbLancamentos[Momento da falha],"&lt;"&amp;Res!$O$9)+K393)</f>
        <v/>
      </c>
      <c r="J393" s="83" t="str">
        <f>IF(F393="","",SUMIFS(tbLancamentos[Tempo indisponível],tbLancamentos[Equipamento],F393,tbLancamentos[Momento da falha],"&gt;="&amp;Res!$C$9,tbLancamentos[Momento da falha],"&lt;"&amp;Res!$O$9)+K393)</f>
        <v/>
      </c>
      <c r="K393" s="79">
        <v>9.6139999999996799E-5</v>
      </c>
      <c r="L393" s="71" t="str">
        <f>IF(F393="","",IFERROR(COUNTIFS(tbLancamentos[Equipamento],F393,tbLancamentos[Momento da falha],"&gt;"&amp;0,tbLancamentos[Momento do retorno],""),0))</f>
        <v/>
      </c>
    </row>
    <row r="394" spans="2:12" ht="20.100000000000001" customHeight="1" x14ac:dyDescent="0.25">
      <c r="B394" s="87">
        <v>388</v>
      </c>
      <c r="C394" s="88"/>
      <c r="D394" s="74"/>
      <c r="E394" s="74"/>
      <c r="F394" s="84" t="str">
        <f t="shared" si="6"/>
        <v/>
      </c>
      <c r="G394" s="89" t="str">
        <f>IF(F394="","",VLOOKUP($C394,CadSet!$C$7:$E$26,2,FALSE))</f>
        <v/>
      </c>
      <c r="H394" s="90" t="str">
        <f>IF(G394="","",VLOOKUP($C394,CadSet!$C$7:$E$26,3,FALSE))</f>
        <v/>
      </c>
      <c r="I394" s="91" t="str">
        <f>IF(F394="","",COUNTIFS(tbLancamentos[Equipamento],F394,tbLancamentos[Momento da falha],"&gt;="&amp;Res!$C$9,tbLancamentos[Momento da falha],"&lt;"&amp;Res!$O$9)+K394)</f>
        <v/>
      </c>
      <c r="J394" s="83" t="str">
        <f>IF(F394="","",SUMIFS(tbLancamentos[Tempo indisponível],tbLancamentos[Equipamento],F394,tbLancamentos[Momento da falha],"&gt;="&amp;Res!$C$9,tbLancamentos[Momento da falha],"&lt;"&amp;Res!$O$9)+K394)</f>
        <v/>
      </c>
      <c r="K394" s="79">
        <v>9.6129999999996804E-5</v>
      </c>
      <c r="L394" s="71" t="str">
        <f>IF(F394="","",IFERROR(COUNTIFS(tbLancamentos[Equipamento],F394,tbLancamentos[Momento da falha],"&gt;"&amp;0,tbLancamentos[Momento do retorno],""),0))</f>
        <v/>
      </c>
    </row>
    <row r="395" spans="2:12" ht="20.100000000000001" customHeight="1" x14ac:dyDescent="0.25">
      <c r="B395" s="87">
        <v>389</v>
      </c>
      <c r="C395" s="88"/>
      <c r="D395" s="74"/>
      <c r="E395" s="74"/>
      <c r="F395" s="84" t="str">
        <f t="shared" si="6"/>
        <v/>
      </c>
      <c r="G395" s="89" t="str">
        <f>IF(F395="","",VLOOKUP($C395,CadSet!$C$7:$E$26,2,FALSE))</f>
        <v/>
      </c>
      <c r="H395" s="90" t="str">
        <f>IF(G395="","",VLOOKUP($C395,CadSet!$C$7:$E$26,3,FALSE))</f>
        <v/>
      </c>
      <c r="I395" s="91" t="str">
        <f>IF(F395="","",COUNTIFS(tbLancamentos[Equipamento],F395,tbLancamentos[Momento da falha],"&gt;="&amp;Res!$C$9,tbLancamentos[Momento da falha],"&lt;"&amp;Res!$O$9)+K395)</f>
        <v/>
      </c>
      <c r="J395" s="83" t="str">
        <f>IF(F395="","",SUMIFS(tbLancamentos[Tempo indisponível],tbLancamentos[Equipamento],F395,tbLancamentos[Momento da falha],"&gt;="&amp;Res!$C$9,tbLancamentos[Momento da falha],"&lt;"&amp;Res!$O$9)+K395)</f>
        <v/>
      </c>
      <c r="K395" s="79">
        <v>9.6119999999996796E-5</v>
      </c>
      <c r="L395" s="71" t="str">
        <f>IF(F395="","",IFERROR(COUNTIFS(tbLancamentos[Equipamento],F395,tbLancamentos[Momento da falha],"&gt;"&amp;0,tbLancamentos[Momento do retorno],""),0))</f>
        <v/>
      </c>
    </row>
    <row r="396" spans="2:12" ht="20.100000000000001" customHeight="1" x14ac:dyDescent="0.25">
      <c r="B396" s="87">
        <v>390</v>
      </c>
      <c r="C396" s="88"/>
      <c r="D396" s="74"/>
      <c r="E396" s="74"/>
      <c r="F396" s="84" t="str">
        <f t="shared" si="6"/>
        <v/>
      </c>
      <c r="G396" s="89" t="str">
        <f>IF(F396="","",VLOOKUP($C396,CadSet!$C$7:$E$26,2,FALSE))</f>
        <v/>
      </c>
      <c r="H396" s="90" t="str">
        <f>IF(G396="","",VLOOKUP($C396,CadSet!$C$7:$E$26,3,FALSE))</f>
        <v/>
      </c>
      <c r="I396" s="91" t="str">
        <f>IF(F396="","",COUNTIFS(tbLancamentos[Equipamento],F396,tbLancamentos[Momento da falha],"&gt;="&amp;Res!$C$9,tbLancamentos[Momento da falha],"&lt;"&amp;Res!$O$9)+K396)</f>
        <v/>
      </c>
      <c r="J396" s="83" t="str">
        <f>IF(F396="","",SUMIFS(tbLancamentos[Tempo indisponível],tbLancamentos[Equipamento],F396,tbLancamentos[Momento da falha],"&gt;="&amp;Res!$C$9,tbLancamentos[Momento da falha],"&lt;"&amp;Res!$O$9)+K396)</f>
        <v/>
      </c>
      <c r="K396" s="79">
        <v>9.6109999999996706E-5</v>
      </c>
      <c r="L396" s="71" t="str">
        <f>IF(F396="","",IFERROR(COUNTIFS(tbLancamentos[Equipamento],F396,tbLancamentos[Momento da falha],"&gt;"&amp;0,tbLancamentos[Momento do retorno],""),0))</f>
        <v/>
      </c>
    </row>
    <row r="397" spans="2:12" ht="20.100000000000001" customHeight="1" x14ac:dyDescent="0.25">
      <c r="B397" s="87">
        <v>391</v>
      </c>
      <c r="C397" s="88"/>
      <c r="D397" s="74"/>
      <c r="E397" s="74"/>
      <c r="F397" s="84" t="str">
        <f t="shared" si="6"/>
        <v/>
      </c>
      <c r="G397" s="89" t="str">
        <f>IF(F397="","",VLOOKUP($C397,CadSet!$C$7:$E$26,2,FALSE))</f>
        <v/>
      </c>
      <c r="H397" s="90" t="str">
        <f>IF(G397="","",VLOOKUP($C397,CadSet!$C$7:$E$26,3,FALSE))</f>
        <v/>
      </c>
      <c r="I397" s="91" t="str">
        <f>IF(F397="","",COUNTIFS(tbLancamentos[Equipamento],F397,tbLancamentos[Momento da falha],"&gt;="&amp;Res!$C$9,tbLancamentos[Momento da falha],"&lt;"&amp;Res!$O$9)+K397)</f>
        <v/>
      </c>
      <c r="J397" s="83" t="str">
        <f>IF(F397="","",SUMIFS(tbLancamentos[Tempo indisponível],tbLancamentos[Equipamento],F397,tbLancamentos[Momento da falha],"&gt;="&amp;Res!$C$9,tbLancamentos[Momento da falha],"&lt;"&amp;Res!$O$9)+K397)</f>
        <v/>
      </c>
      <c r="K397" s="79">
        <v>9.6099999999996698E-5</v>
      </c>
      <c r="L397" s="71" t="str">
        <f>IF(F397="","",IFERROR(COUNTIFS(tbLancamentos[Equipamento],F397,tbLancamentos[Momento da falha],"&gt;"&amp;0,tbLancamentos[Momento do retorno],""),0))</f>
        <v/>
      </c>
    </row>
    <row r="398" spans="2:12" ht="20.100000000000001" customHeight="1" x14ac:dyDescent="0.25">
      <c r="B398" s="87">
        <v>392</v>
      </c>
      <c r="C398" s="88"/>
      <c r="D398" s="74"/>
      <c r="E398" s="74"/>
      <c r="F398" s="84" t="str">
        <f t="shared" si="6"/>
        <v/>
      </c>
      <c r="G398" s="89" t="str">
        <f>IF(F398="","",VLOOKUP($C398,CadSet!$C$7:$E$26,2,FALSE))</f>
        <v/>
      </c>
      <c r="H398" s="90" t="str">
        <f>IF(G398="","",VLOOKUP($C398,CadSet!$C$7:$E$26,3,FALSE))</f>
        <v/>
      </c>
      <c r="I398" s="91" t="str">
        <f>IF(F398="","",COUNTIFS(tbLancamentos[Equipamento],F398,tbLancamentos[Momento da falha],"&gt;="&amp;Res!$C$9,tbLancamentos[Momento da falha],"&lt;"&amp;Res!$O$9)+K398)</f>
        <v/>
      </c>
      <c r="J398" s="83" t="str">
        <f>IF(F398="","",SUMIFS(tbLancamentos[Tempo indisponível],tbLancamentos[Equipamento],F398,tbLancamentos[Momento da falha],"&gt;="&amp;Res!$C$9,tbLancamentos[Momento da falha],"&lt;"&amp;Res!$O$9)+K398)</f>
        <v/>
      </c>
      <c r="K398" s="79">
        <v>9.6089999999996703E-5</v>
      </c>
      <c r="L398" s="71" t="str">
        <f>IF(F398="","",IFERROR(COUNTIFS(tbLancamentos[Equipamento],F398,tbLancamentos[Momento da falha],"&gt;"&amp;0,tbLancamentos[Momento do retorno],""),0))</f>
        <v/>
      </c>
    </row>
    <row r="399" spans="2:12" ht="20.100000000000001" customHeight="1" x14ac:dyDescent="0.25">
      <c r="B399" s="87">
        <v>393</v>
      </c>
      <c r="C399" s="88"/>
      <c r="D399" s="74"/>
      <c r="E399" s="74"/>
      <c r="F399" s="84" t="str">
        <f t="shared" si="6"/>
        <v/>
      </c>
      <c r="G399" s="89" t="str">
        <f>IF(F399="","",VLOOKUP($C399,CadSet!$C$7:$E$26,2,FALSE))</f>
        <v/>
      </c>
      <c r="H399" s="90" t="str">
        <f>IF(G399="","",VLOOKUP($C399,CadSet!$C$7:$E$26,3,FALSE))</f>
        <v/>
      </c>
      <c r="I399" s="91" t="str">
        <f>IF(F399="","",COUNTIFS(tbLancamentos[Equipamento],F399,tbLancamentos[Momento da falha],"&gt;="&amp;Res!$C$9,tbLancamentos[Momento da falha],"&lt;"&amp;Res!$O$9)+K399)</f>
        <v/>
      </c>
      <c r="J399" s="83" t="str">
        <f>IF(F399="","",SUMIFS(tbLancamentos[Tempo indisponível],tbLancamentos[Equipamento],F399,tbLancamentos[Momento da falha],"&gt;="&amp;Res!$C$9,tbLancamentos[Momento da falha],"&lt;"&amp;Res!$O$9)+K399)</f>
        <v/>
      </c>
      <c r="K399" s="79">
        <v>9.6079999999996695E-5</v>
      </c>
      <c r="L399" s="71" t="str">
        <f>IF(F399="","",IFERROR(COUNTIFS(tbLancamentos[Equipamento],F399,tbLancamentos[Momento da falha],"&gt;"&amp;0,tbLancamentos[Momento do retorno],""),0))</f>
        <v/>
      </c>
    </row>
    <row r="400" spans="2:12" ht="20.100000000000001" customHeight="1" x14ac:dyDescent="0.25">
      <c r="B400" s="87">
        <v>394</v>
      </c>
      <c r="C400" s="88"/>
      <c r="D400" s="74"/>
      <c r="E400" s="74"/>
      <c r="F400" s="84" t="str">
        <f t="shared" si="6"/>
        <v/>
      </c>
      <c r="G400" s="89" t="str">
        <f>IF(F400="","",VLOOKUP($C400,CadSet!$C$7:$E$26,2,FALSE))</f>
        <v/>
      </c>
      <c r="H400" s="90" t="str">
        <f>IF(G400="","",VLOOKUP($C400,CadSet!$C$7:$E$26,3,FALSE))</f>
        <v/>
      </c>
      <c r="I400" s="91" t="str">
        <f>IF(F400="","",COUNTIFS(tbLancamentos[Equipamento],F400,tbLancamentos[Momento da falha],"&gt;="&amp;Res!$C$9,tbLancamentos[Momento da falha],"&lt;"&amp;Res!$O$9)+K400)</f>
        <v/>
      </c>
      <c r="J400" s="83" t="str">
        <f>IF(F400="","",SUMIFS(tbLancamentos[Tempo indisponível],tbLancamentos[Equipamento],F400,tbLancamentos[Momento da falha],"&gt;="&amp;Res!$C$9,tbLancamentos[Momento da falha],"&lt;"&amp;Res!$O$9)+K400)</f>
        <v/>
      </c>
      <c r="K400" s="79">
        <v>9.60699999999967E-5</v>
      </c>
      <c r="L400" s="71" t="str">
        <f>IF(F400="","",IFERROR(COUNTIFS(tbLancamentos[Equipamento],F400,tbLancamentos[Momento da falha],"&gt;"&amp;0,tbLancamentos[Momento do retorno],""),0))</f>
        <v/>
      </c>
    </row>
    <row r="401" spans="2:12" ht="20.100000000000001" customHeight="1" x14ac:dyDescent="0.25">
      <c r="B401" s="87">
        <v>395</v>
      </c>
      <c r="C401" s="88"/>
      <c r="D401" s="74"/>
      <c r="E401" s="74"/>
      <c r="F401" s="84" t="str">
        <f t="shared" si="6"/>
        <v/>
      </c>
      <c r="G401" s="89" t="str">
        <f>IF(F401="","",VLOOKUP($C401,CadSet!$C$7:$E$26,2,FALSE))</f>
        <v/>
      </c>
      <c r="H401" s="90" t="str">
        <f>IF(G401="","",VLOOKUP($C401,CadSet!$C$7:$E$26,3,FALSE))</f>
        <v/>
      </c>
      <c r="I401" s="91" t="str">
        <f>IF(F401="","",COUNTIFS(tbLancamentos[Equipamento],F401,tbLancamentos[Momento da falha],"&gt;="&amp;Res!$C$9,tbLancamentos[Momento da falha],"&lt;"&amp;Res!$O$9)+K401)</f>
        <v/>
      </c>
      <c r="J401" s="83" t="str">
        <f>IF(F401="","",SUMIFS(tbLancamentos[Tempo indisponível],tbLancamentos[Equipamento],F401,tbLancamentos[Momento da falha],"&gt;="&amp;Res!$C$9,tbLancamentos[Momento da falha],"&lt;"&amp;Res!$O$9)+K401)</f>
        <v/>
      </c>
      <c r="K401" s="79">
        <v>9.6059999999996705E-5</v>
      </c>
      <c r="L401" s="71" t="str">
        <f>IF(F401="","",IFERROR(COUNTIFS(tbLancamentos[Equipamento],F401,tbLancamentos[Momento da falha],"&gt;"&amp;0,tbLancamentos[Momento do retorno],""),0))</f>
        <v/>
      </c>
    </row>
    <row r="402" spans="2:12" ht="20.100000000000001" customHeight="1" x14ac:dyDescent="0.25">
      <c r="B402" s="87">
        <v>396</v>
      </c>
      <c r="C402" s="88"/>
      <c r="D402" s="74"/>
      <c r="E402" s="74"/>
      <c r="F402" s="84" t="str">
        <f t="shared" si="6"/>
        <v/>
      </c>
      <c r="G402" s="89" t="str">
        <f>IF(F402="","",VLOOKUP($C402,CadSet!$C$7:$E$26,2,FALSE))</f>
        <v/>
      </c>
      <c r="H402" s="90" t="str">
        <f>IF(G402="","",VLOOKUP($C402,CadSet!$C$7:$E$26,3,FALSE))</f>
        <v/>
      </c>
      <c r="I402" s="91" t="str">
        <f>IF(F402="","",COUNTIFS(tbLancamentos[Equipamento],F402,tbLancamentos[Momento da falha],"&gt;="&amp;Res!$C$9,tbLancamentos[Momento da falha],"&lt;"&amp;Res!$O$9)+K402)</f>
        <v/>
      </c>
      <c r="J402" s="83" t="str">
        <f>IF(F402="","",SUMIFS(tbLancamentos[Tempo indisponível],tbLancamentos[Equipamento],F402,tbLancamentos[Momento da falha],"&gt;="&amp;Res!$C$9,tbLancamentos[Momento da falha],"&lt;"&amp;Res!$O$9)+K402)</f>
        <v/>
      </c>
      <c r="K402" s="79">
        <v>9.6049999999996697E-5</v>
      </c>
      <c r="L402" s="71" t="str">
        <f>IF(F402="","",IFERROR(COUNTIFS(tbLancamentos[Equipamento],F402,tbLancamentos[Momento da falha],"&gt;"&amp;0,tbLancamentos[Momento do retorno],""),0))</f>
        <v/>
      </c>
    </row>
    <row r="403" spans="2:12" ht="20.100000000000001" customHeight="1" x14ac:dyDescent="0.25">
      <c r="B403" s="87">
        <v>397</v>
      </c>
      <c r="C403" s="88"/>
      <c r="D403" s="74"/>
      <c r="E403" s="74"/>
      <c r="F403" s="84" t="str">
        <f t="shared" si="6"/>
        <v/>
      </c>
      <c r="G403" s="89" t="str">
        <f>IF(F403="","",VLOOKUP($C403,CadSet!$C$7:$E$26,2,FALSE))</f>
        <v/>
      </c>
      <c r="H403" s="90" t="str">
        <f>IF(G403="","",VLOOKUP($C403,CadSet!$C$7:$E$26,3,FALSE))</f>
        <v/>
      </c>
      <c r="I403" s="91" t="str">
        <f>IF(F403="","",COUNTIFS(tbLancamentos[Equipamento],F403,tbLancamentos[Momento da falha],"&gt;="&amp;Res!$C$9,tbLancamentos[Momento da falha],"&lt;"&amp;Res!$O$9)+K403)</f>
        <v/>
      </c>
      <c r="J403" s="83" t="str">
        <f>IF(F403="","",SUMIFS(tbLancamentos[Tempo indisponível],tbLancamentos[Equipamento],F403,tbLancamentos[Momento da falha],"&gt;="&amp;Res!$C$9,tbLancamentos[Momento da falha],"&lt;"&amp;Res!$O$9)+K403)</f>
        <v/>
      </c>
      <c r="K403" s="79">
        <v>9.6039999999996702E-5</v>
      </c>
      <c r="L403" s="71" t="str">
        <f>IF(F403="","",IFERROR(COUNTIFS(tbLancamentos[Equipamento],F403,tbLancamentos[Momento da falha],"&gt;"&amp;0,tbLancamentos[Momento do retorno],""),0))</f>
        <v/>
      </c>
    </row>
    <row r="404" spans="2:12" ht="20.100000000000001" customHeight="1" x14ac:dyDescent="0.25">
      <c r="B404" s="87">
        <v>398</v>
      </c>
      <c r="C404" s="88"/>
      <c r="D404" s="74"/>
      <c r="E404" s="74"/>
      <c r="F404" s="84" t="str">
        <f t="shared" si="6"/>
        <v/>
      </c>
      <c r="G404" s="89" t="str">
        <f>IF(F404="","",VLOOKUP($C404,CadSet!$C$7:$E$26,2,FALSE))</f>
        <v/>
      </c>
      <c r="H404" s="90" t="str">
        <f>IF(G404="","",VLOOKUP($C404,CadSet!$C$7:$E$26,3,FALSE))</f>
        <v/>
      </c>
      <c r="I404" s="91" t="str">
        <f>IF(F404="","",COUNTIFS(tbLancamentos[Equipamento],F404,tbLancamentos[Momento da falha],"&gt;="&amp;Res!$C$9,tbLancamentos[Momento da falha],"&lt;"&amp;Res!$O$9)+K404)</f>
        <v/>
      </c>
      <c r="J404" s="83" t="str">
        <f>IF(F404="","",SUMIFS(tbLancamentos[Tempo indisponível],tbLancamentos[Equipamento],F404,tbLancamentos[Momento da falha],"&gt;="&amp;Res!$C$9,tbLancamentos[Momento da falha],"&lt;"&amp;Res!$O$9)+K404)</f>
        <v/>
      </c>
      <c r="K404" s="79">
        <v>9.6029999999996694E-5</v>
      </c>
      <c r="L404" s="71" t="str">
        <f>IF(F404="","",IFERROR(COUNTIFS(tbLancamentos[Equipamento],F404,tbLancamentos[Momento da falha],"&gt;"&amp;0,tbLancamentos[Momento do retorno],""),0))</f>
        <v/>
      </c>
    </row>
    <row r="405" spans="2:12" ht="20.100000000000001" customHeight="1" x14ac:dyDescent="0.25">
      <c r="B405" s="87">
        <v>399</v>
      </c>
      <c r="C405" s="88"/>
      <c r="D405" s="74"/>
      <c r="E405" s="74"/>
      <c r="F405" s="84" t="str">
        <f t="shared" si="6"/>
        <v/>
      </c>
      <c r="G405" s="89" t="str">
        <f>IF(F405="","",VLOOKUP($C405,CadSet!$C$7:$E$26,2,FALSE))</f>
        <v/>
      </c>
      <c r="H405" s="90" t="str">
        <f>IF(G405="","",VLOOKUP($C405,CadSet!$C$7:$E$26,3,FALSE))</f>
        <v/>
      </c>
      <c r="I405" s="91" t="str">
        <f>IF(F405="","",COUNTIFS(tbLancamentos[Equipamento],F405,tbLancamentos[Momento da falha],"&gt;="&amp;Res!$C$9,tbLancamentos[Momento da falha],"&lt;"&amp;Res!$O$9)+K405)</f>
        <v/>
      </c>
      <c r="J405" s="83" t="str">
        <f>IF(F405="","",SUMIFS(tbLancamentos[Tempo indisponível],tbLancamentos[Equipamento],F405,tbLancamentos[Momento da falha],"&gt;="&amp;Res!$C$9,tbLancamentos[Momento da falha],"&lt;"&amp;Res!$O$9)+K405)</f>
        <v/>
      </c>
      <c r="K405" s="79">
        <v>9.6019999999996699E-5</v>
      </c>
      <c r="L405" s="71" t="str">
        <f>IF(F405="","",IFERROR(COUNTIFS(tbLancamentos[Equipamento],F405,tbLancamentos[Momento da falha],"&gt;"&amp;0,tbLancamentos[Momento do retorno],""),0))</f>
        <v/>
      </c>
    </row>
    <row r="406" spans="2:12" ht="20.100000000000001" customHeight="1" x14ac:dyDescent="0.25">
      <c r="B406" s="87">
        <v>400</v>
      </c>
      <c r="C406" s="88"/>
      <c r="D406" s="74"/>
      <c r="E406" s="74"/>
      <c r="F406" s="84" t="str">
        <f t="shared" si="6"/>
        <v/>
      </c>
      <c r="G406" s="89" t="str">
        <f>IF(F406="","",VLOOKUP($C406,CadSet!$C$7:$E$26,2,FALSE))</f>
        <v/>
      </c>
      <c r="H406" s="90" t="str">
        <f>IF(G406="","",VLOOKUP($C406,CadSet!$C$7:$E$26,3,FALSE))</f>
        <v/>
      </c>
      <c r="I406" s="91" t="str">
        <f>IF(F406="","",COUNTIFS(tbLancamentos[Equipamento],F406,tbLancamentos[Momento da falha],"&gt;="&amp;Res!$C$9,tbLancamentos[Momento da falha],"&lt;"&amp;Res!$O$9)+K406)</f>
        <v/>
      </c>
      <c r="J406" s="83" t="str">
        <f>IF(F406="","",SUMIFS(tbLancamentos[Tempo indisponível],tbLancamentos[Equipamento],F406,tbLancamentos[Momento da falha],"&gt;="&amp;Res!$C$9,tbLancamentos[Momento da falha],"&lt;"&amp;Res!$O$9)+K406)</f>
        <v/>
      </c>
      <c r="K406" s="79">
        <v>9.6009999999996704E-5</v>
      </c>
      <c r="L406" s="71" t="str">
        <f>IF(F406="","",IFERROR(COUNTIFS(tbLancamentos[Equipamento],F406,tbLancamentos[Momento da falha],"&gt;"&amp;0,tbLancamentos[Momento do retorno],""),0))</f>
        <v/>
      </c>
    </row>
    <row r="407" spans="2:12" ht="20.100000000000001" customHeight="1" x14ac:dyDescent="0.25">
      <c r="B407" s="87">
        <v>401</v>
      </c>
      <c r="C407" s="88"/>
      <c r="D407" s="74"/>
      <c r="E407" s="74"/>
      <c r="F407" s="84" t="str">
        <f t="shared" si="6"/>
        <v/>
      </c>
      <c r="G407" s="89" t="str">
        <f>IF(F407="","",VLOOKUP($C407,CadSet!$C$7:$E$26,2,FALSE))</f>
        <v/>
      </c>
      <c r="H407" s="90" t="str">
        <f>IF(G407="","",VLOOKUP($C407,CadSet!$C$7:$E$26,3,FALSE))</f>
        <v/>
      </c>
      <c r="I407" s="91" t="str">
        <f>IF(F407="","",COUNTIFS(tbLancamentos[Equipamento],F407,tbLancamentos[Momento da falha],"&gt;="&amp;Res!$C$9,tbLancamentos[Momento da falha],"&lt;"&amp;Res!$O$9)+K407)</f>
        <v/>
      </c>
      <c r="J407" s="83" t="str">
        <f>IF(F407="","",SUMIFS(tbLancamentos[Tempo indisponível],tbLancamentos[Equipamento],F407,tbLancamentos[Momento da falha],"&gt;="&amp;Res!$C$9,tbLancamentos[Momento da falha],"&lt;"&amp;Res!$O$9)+K407)</f>
        <v/>
      </c>
      <c r="K407" s="79">
        <v>9.5999999999996696E-5</v>
      </c>
      <c r="L407" s="71" t="str">
        <f>IF(F407="","",IFERROR(COUNTIFS(tbLancamentos[Equipamento],F407,tbLancamentos[Momento da falha],"&gt;"&amp;0,tbLancamentos[Momento do retorno],""),0))</f>
        <v/>
      </c>
    </row>
    <row r="408" spans="2:12" ht="20.100000000000001" customHeight="1" x14ac:dyDescent="0.25">
      <c r="B408" s="87">
        <v>402</v>
      </c>
      <c r="C408" s="88"/>
      <c r="D408" s="74"/>
      <c r="E408" s="74"/>
      <c r="F408" s="84" t="str">
        <f t="shared" si="6"/>
        <v/>
      </c>
      <c r="G408" s="89" t="str">
        <f>IF(F408="","",VLOOKUP($C408,CadSet!$C$7:$E$26,2,FALSE))</f>
        <v/>
      </c>
      <c r="H408" s="90" t="str">
        <f>IF(G408="","",VLOOKUP($C408,CadSet!$C$7:$E$26,3,FALSE))</f>
        <v/>
      </c>
      <c r="I408" s="91" t="str">
        <f>IF(F408="","",COUNTIFS(tbLancamentos[Equipamento],F408,tbLancamentos[Momento da falha],"&gt;="&amp;Res!$C$9,tbLancamentos[Momento da falha],"&lt;"&amp;Res!$O$9)+K408)</f>
        <v/>
      </c>
      <c r="J408" s="83" t="str">
        <f>IF(F408="","",SUMIFS(tbLancamentos[Tempo indisponível],tbLancamentos[Equipamento],F408,tbLancamentos[Momento da falha],"&gt;="&amp;Res!$C$9,tbLancamentos[Momento da falha],"&lt;"&amp;Res!$O$9)+K408)</f>
        <v/>
      </c>
      <c r="K408" s="79">
        <v>9.5989999999996606E-5</v>
      </c>
      <c r="L408" s="71" t="str">
        <f>IF(F408="","",IFERROR(COUNTIFS(tbLancamentos[Equipamento],F408,tbLancamentos[Momento da falha],"&gt;"&amp;0,tbLancamentos[Momento do retorno],""),0))</f>
        <v/>
      </c>
    </row>
    <row r="409" spans="2:12" ht="20.100000000000001" customHeight="1" x14ac:dyDescent="0.25">
      <c r="B409" s="87">
        <v>403</v>
      </c>
      <c r="C409" s="88"/>
      <c r="D409" s="74"/>
      <c r="E409" s="74"/>
      <c r="F409" s="84" t="str">
        <f t="shared" si="6"/>
        <v/>
      </c>
      <c r="G409" s="89" t="str">
        <f>IF(F409="","",VLOOKUP($C409,CadSet!$C$7:$E$26,2,FALSE))</f>
        <v/>
      </c>
      <c r="H409" s="90" t="str">
        <f>IF(G409="","",VLOOKUP($C409,CadSet!$C$7:$E$26,3,FALSE))</f>
        <v/>
      </c>
      <c r="I409" s="91" t="str">
        <f>IF(F409="","",COUNTIFS(tbLancamentos[Equipamento],F409,tbLancamentos[Momento da falha],"&gt;="&amp;Res!$C$9,tbLancamentos[Momento da falha],"&lt;"&amp;Res!$O$9)+K409)</f>
        <v/>
      </c>
      <c r="J409" s="83" t="str">
        <f>IF(F409="","",SUMIFS(tbLancamentos[Tempo indisponível],tbLancamentos[Equipamento],F409,tbLancamentos[Momento da falha],"&gt;="&amp;Res!$C$9,tbLancamentos[Momento da falha],"&lt;"&amp;Res!$O$9)+K409)</f>
        <v/>
      </c>
      <c r="K409" s="79">
        <v>9.5979999999996598E-5</v>
      </c>
      <c r="L409" s="71" t="str">
        <f>IF(F409="","",IFERROR(COUNTIFS(tbLancamentos[Equipamento],F409,tbLancamentos[Momento da falha],"&gt;"&amp;0,tbLancamentos[Momento do retorno],""),0))</f>
        <v/>
      </c>
    </row>
    <row r="410" spans="2:12" ht="20.100000000000001" customHeight="1" x14ac:dyDescent="0.25">
      <c r="B410" s="87">
        <v>404</v>
      </c>
      <c r="C410" s="88"/>
      <c r="D410" s="74"/>
      <c r="E410" s="74"/>
      <c r="F410" s="84" t="str">
        <f t="shared" si="6"/>
        <v/>
      </c>
      <c r="G410" s="89" t="str">
        <f>IF(F410="","",VLOOKUP($C410,CadSet!$C$7:$E$26,2,FALSE))</f>
        <v/>
      </c>
      <c r="H410" s="90" t="str">
        <f>IF(G410="","",VLOOKUP($C410,CadSet!$C$7:$E$26,3,FALSE))</f>
        <v/>
      </c>
      <c r="I410" s="91" t="str">
        <f>IF(F410="","",COUNTIFS(tbLancamentos[Equipamento],F410,tbLancamentos[Momento da falha],"&gt;="&amp;Res!$C$9,tbLancamentos[Momento da falha],"&lt;"&amp;Res!$O$9)+K410)</f>
        <v/>
      </c>
      <c r="J410" s="83" t="str">
        <f>IF(F410="","",SUMIFS(tbLancamentos[Tempo indisponível],tbLancamentos[Equipamento],F410,tbLancamentos[Momento da falha],"&gt;="&amp;Res!$C$9,tbLancamentos[Momento da falha],"&lt;"&amp;Res!$O$9)+K410)</f>
        <v/>
      </c>
      <c r="K410" s="79">
        <v>9.5969999999996603E-5</v>
      </c>
      <c r="L410" s="71" t="str">
        <f>IF(F410="","",IFERROR(COUNTIFS(tbLancamentos[Equipamento],F410,tbLancamentos[Momento da falha],"&gt;"&amp;0,tbLancamentos[Momento do retorno],""),0))</f>
        <v/>
      </c>
    </row>
    <row r="411" spans="2:12" ht="20.100000000000001" customHeight="1" x14ac:dyDescent="0.25">
      <c r="B411" s="87">
        <v>405</v>
      </c>
      <c r="C411" s="88"/>
      <c r="D411" s="74"/>
      <c r="E411" s="74"/>
      <c r="F411" s="84" t="str">
        <f t="shared" si="6"/>
        <v/>
      </c>
      <c r="G411" s="89" t="str">
        <f>IF(F411="","",VLOOKUP($C411,CadSet!$C$7:$E$26,2,FALSE))</f>
        <v/>
      </c>
      <c r="H411" s="90" t="str">
        <f>IF(G411="","",VLOOKUP($C411,CadSet!$C$7:$E$26,3,FALSE))</f>
        <v/>
      </c>
      <c r="I411" s="91" t="str">
        <f>IF(F411="","",COUNTIFS(tbLancamentos[Equipamento],F411,tbLancamentos[Momento da falha],"&gt;="&amp;Res!$C$9,tbLancamentos[Momento da falha],"&lt;"&amp;Res!$O$9)+K411)</f>
        <v/>
      </c>
      <c r="J411" s="83" t="str">
        <f>IF(F411="","",SUMIFS(tbLancamentos[Tempo indisponível],tbLancamentos[Equipamento],F411,tbLancamentos[Momento da falha],"&gt;="&amp;Res!$C$9,tbLancamentos[Momento da falha],"&lt;"&amp;Res!$O$9)+K411)</f>
        <v/>
      </c>
      <c r="K411" s="79">
        <v>9.5959999999996594E-5</v>
      </c>
      <c r="L411" s="71" t="str">
        <f>IF(F411="","",IFERROR(COUNTIFS(tbLancamentos[Equipamento],F411,tbLancamentos[Momento da falha],"&gt;"&amp;0,tbLancamentos[Momento do retorno],""),0))</f>
        <v/>
      </c>
    </row>
    <row r="412" spans="2:12" ht="20.100000000000001" customHeight="1" x14ac:dyDescent="0.25">
      <c r="B412" s="87">
        <v>406</v>
      </c>
      <c r="C412" s="88"/>
      <c r="D412" s="74"/>
      <c r="E412" s="74"/>
      <c r="F412" s="84" t="str">
        <f t="shared" si="6"/>
        <v/>
      </c>
      <c r="G412" s="89" t="str">
        <f>IF(F412="","",VLOOKUP($C412,CadSet!$C$7:$E$26,2,FALSE))</f>
        <v/>
      </c>
      <c r="H412" s="90" t="str">
        <f>IF(G412="","",VLOOKUP($C412,CadSet!$C$7:$E$26,3,FALSE))</f>
        <v/>
      </c>
      <c r="I412" s="91" t="str">
        <f>IF(F412="","",COUNTIFS(tbLancamentos[Equipamento],F412,tbLancamentos[Momento da falha],"&gt;="&amp;Res!$C$9,tbLancamentos[Momento da falha],"&lt;"&amp;Res!$O$9)+K412)</f>
        <v/>
      </c>
      <c r="J412" s="83" t="str">
        <f>IF(F412="","",SUMIFS(tbLancamentos[Tempo indisponível],tbLancamentos[Equipamento],F412,tbLancamentos[Momento da falha],"&gt;="&amp;Res!$C$9,tbLancamentos[Momento da falha],"&lt;"&amp;Res!$O$9)+K412)</f>
        <v/>
      </c>
      <c r="K412" s="79">
        <v>9.59499999999966E-5</v>
      </c>
      <c r="L412" s="71" t="str">
        <f>IF(F412="","",IFERROR(COUNTIFS(tbLancamentos[Equipamento],F412,tbLancamentos[Momento da falha],"&gt;"&amp;0,tbLancamentos[Momento do retorno],""),0))</f>
        <v/>
      </c>
    </row>
    <row r="413" spans="2:12" ht="20.100000000000001" customHeight="1" x14ac:dyDescent="0.25">
      <c r="B413" s="87">
        <v>407</v>
      </c>
      <c r="C413" s="88"/>
      <c r="D413" s="74"/>
      <c r="E413" s="74"/>
      <c r="F413" s="84" t="str">
        <f t="shared" si="6"/>
        <v/>
      </c>
      <c r="G413" s="89" t="str">
        <f>IF(F413="","",VLOOKUP($C413,CadSet!$C$7:$E$26,2,FALSE))</f>
        <v/>
      </c>
      <c r="H413" s="90" t="str">
        <f>IF(G413="","",VLOOKUP($C413,CadSet!$C$7:$E$26,3,FALSE))</f>
        <v/>
      </c>
      <c r="I413" s="91" t="str">
        <f>IF(F413="","",COUNTIFS(tbLancamentos[Equipamento],F413,tbLancamentos[Momento da falha],"&gt;="&amp;Res!$C$9,tbLancamentos[Momento da falha],"&lt;"&amp;Res!$O$9)+K413)</f>
        <v/>
      </c>
      <c r="J413" s="83" t="str">
        <f>IF(F413="","",SUMIFS(tbLancamentos[Tempo indisponível],tbLancamentos[Equipamento],F413,tbLancamentos[Momento da falha],"&gt;="&amp;Res!$C$9,tbLancamentos[Momento da falha],"&lt;"&amp;Res!$O$9)+K413)</f>
        <v/>
      </c>
      <c r="K413" s="79">
        <v>9.5939999999996605E-5</v>
      </c>
      <c r="L413" s="71" t="str">
        <f>IF(F413="","",IFERROR(COUNTIFS(tbLancamentos[Equipamento],F413,tbLancamentos[Momento da falha],"&gt;"&amp;0,tbLancamentos[Momento do retorno],""),0))</f>
        <v/>
      </c>
    </row>
    <row r="414" spans="2:12" ht="20.100000000000001" customHeight="1" x14ac:dyDescent="0.25">
      <c r="B414" s="87">
        <v>408</v>
      </c>
      <c r="C414" s="88"/>
      <c r="D414" s="74"/>
      <c r="E414" s="74"/>
      <c r="F414" s="84" t="str">
        <f t="shared" si="6"/>
        <v/>
      </c>
      <c r="G414" s="89" t="str">
        <f>IF(F414="","",VLOOKUP($C414,CadSet!$C$7:$E$26,2,FALSE))</f>
        <v/>
      </c>
      <c r="H414" s="90" t="str">
        <f>IF(G414="","",VLOOKUP($C414,CadSet!$C$7:$E$26,3,FALSE))</f>
        <v/>
      </c>
      <c r="I414" s="91" t="str">
        <f>IF(F414="","",COUNTIFS(tbLancamentos[Equipamento],F414,tbLancamentos[Momento da falha],"&gt;="&amp;Res!$C$9,tbLancamentos[Momento da falha],"&lt;"&amp;Res!$O$9)+K414)</f>
        <v/>
      </c>
      <c r="J414" s="83" t="str">
        <f>IF(F414="","",SUMIFS(tbLancamentos[Tempo indisponível],tbLancamentos[Equipamento],F414,tbLancamentos[Momento da falha],"&gt;="&amp;Res!$C$9,tbLancamentos[Momento da falha],"&lt;"&amp;Res!$O$9)+K414)</f>
        <v/>
      </c>
      <c r="K414" s="79">
        <v>9.5929999999996596E-5</v>
      </c>
      <c r="L414" s="71" t="str">
        <f>IF(F414="","",IFERROR(COUNTIFS(tbLancamentos[Equipamento],F414,tbLancamentos[Momento da falha],"&gt;"&amp;0,tbLancamentos[Momento do retorno],""),0))</f>
        <v/>
      </c>
    </row>
    <row r="415" spans="2:12" ht="20.100000000000001" customHeight="1" x14ac:dyDescent="0.25">
      <c r="B415" s="87">
        <v>409</v>
      </c>
      <c r="C415" s="88"/>
      <c r="D415" s="74"/>
      <c r="E415" s="74"/>
      <c r="F415" s="84" t="str">
        <f t="shared" si="6"/>
        <v/>
      </c>
      <c r="G415" s="89" t="str">
        <f>IF(F415="","",VLOOKUP($C415,CadSet!$C$7:$E$26,2,FALSE))</f>
        <v/>
      </c>
      <c r="H415" s="90" t="str">
        <f>IF(G415="","",VLOOKUP($C415,CadSet!$C$7:$E$26,3,FALSE))</f>
        <v/>
      </c>
      <c r="I415" s="91" t="str">
        <f>IF(F415="","",COUNTIFS(tbLancamentos[Equipamento],F415,tbLancamentos[Momento da falha],"&gt;="&amp;Res!$C$9,tbLancamentos[Momento da falha],"&lt;"&amp;Res!$O$9)+K415)</f>
        <v/>
      </c>
      <c r="J415" s="83" t="str">
        <f>IF(F415="","",SUMIFS(tbLancamentos[Tempo indisponível],tbLancamentos[Equipamento],F415,tbLancamentos[Momento da falha],"&gt;="&amp;Res!$C$9,tbLancamentos[Momento da falha],"&lt;"&amp;Res!$O$9)+K415)</f>
        <v/>
      </c>
      <c r="K415" s="79">
        <v>9.5919999999996602E-5</v>
      </c>
      <c r="L415" s="71" t="str">
        <f>IF(F415="","",IFERROR(COUNTIFS(tbLancamentos[Equipamento],F415,tbLancamentos[Momento da falha],"&gt;"&amp;0,tbLancamentos[Momento do retorno],""),0))</f>
        <v/>
      </c>
    </row>
    <row r="416" spans="2:12" ht="20.100000000000001" customHeight="1" x14ac:dyDescent="0.25">
      <c r="B416" s="87">
        <v>410</v>
      </c>
      <c r="C416" s="88"/>
      <c r="D416" s="74"/>
      <c r="E416" s="74"/>
      <c r="F416" s="84" t="str">
        <f t="shared" si="6"/>
        <v/>
      </c>
      <c r="G416" s="89" t="str">
        <f>IF(F416="","",VLOOKUP($C416,CadSet!$C$7:$E$26,2,FALSE))</f>
        <v/>
      </c>
      <c r="H416" s="90" t="str">
        <f>IF(G416="","",VLOOKUP($C416,CadSet!$C$7:$E$26,3,FALSE))</f>
        <v/>
      </c>
      <c r="I416" s="91" t="str">
        <f>IF(F416="","",COUNTIFS(tbLancamentos[Equipamento],F416,tbLancamentos[Momento da falha],"&gt;="&amp;Res!$C$9,tbLancamentos[Momento da falha],"&lt;"&amp;Res!$O$9)+K416)</f>
        <v/>
      </c>
      <c r="J416" s="83" t="str">
        <f>IF(F416="","",SUMIFS(tbLancamentos[Tempo indisponível],tbLancamentos[Equipamento],F416,tbLancamentos[Momento da falha],"&gt;="&amp;Res!$C$9,tbLancamentos[Momento da falha],"&lt;"&amp;Res!$O$9)+K416)</f>
        <v/>
      </c>
      <c r="K416" s="79">
        <v>9.5909999999996607E-5</v>
      </c>
      <c r="L416" s="71" t="str">
        <f>IF(F416="","",IFERROR(COUNTIFS(tbLancamentos[Equipamento],F416,tbLancamentos[Momento da falha],"&gt;"&amp;0,tbLancamentos[Momento do retorno],""),0))</f>
        <v/>
      </c>
    </row>
    <row r="417" spans="2:12" ht="20.100000000000001" customHeight="1" x14ac:dyDescent="0.25">
      <c r="B417" s="87">
        <v>411</v>
      </c>
      <c r="C417" s="88"/>
      <c r="D417" s="74"/>
      <c r="E417" s="74"/>
      <c r="F417" s="84" t="str">
        <f t="shared" si="6"/>
        <v/>
      </c>
      <c r="G417" s="89" t="str">
        <f>IF(F417="","",VLOOKUP($C417,CadSet!$C$7:$E$26,2,FALSE))</f>
        <v/>
      </c>
      <c r="H417" s="90" t="str">
        <f>IF(G417="","",VLOOKUP($C417,CadSet!$C$7:$E$26,3,FALSE))</f>
        <v/>
      </c>
      <c r="I417" s="91" t="str">
        <f>IF(F417="","",COUNTIFS(tbLancamentos[Equipamento],F417,tbLancamentos[Momento da falha],"&gt;="&amp;Res!$C$9,tbLancamentos[Momento da falha],"&lt;"&amp;Res!$O$9)+K417)</f>
        <v/>
      </c>
      <c r="J417" s="83" t="str">
        <f>IF(F417="","",SUMIFS(tbLancamentos[Tempo indisponível],tbLancamentos[Equipamento],F417,tbLancamentos[Momento da falha],"&gt;="&amp;Res!$C$9,tbLancamentos[Momento da falha],"&lt;"&amp;Res!$O$9)+K417)</f>
        <v/>
      </c>
      <c r="K417" s="79">
        <v>9.5899999999996598E-5</v>
      </c>
      <c r="L417" s="71" t="str">
        <f>IF(F417="","",IFERROR(COUNTIFS(tbLancamentos[Equipamento],F417,tbLancamentos[Momento da falha],"&gt;"&amp;0,tbLancamentos[Momento do retorno],""),0))</f>
        <v/>
      </c>
    </row>
    <row r="418" spans="2:12" ht="20.100000000000001" customHeight="1" x14ac:dyDescent="0.25">
      <c r="B418" s="87">
        <v>412</v>
      </c>
      <c r="C418" s="88"/>
      <c r="D418" s="74"/>
      <c r="E418" s="74"/>
      <c r="F418" s="84" t="str">
        <f t="shared" si="6"/>
        <v/>
      </c>
      <c r="G418" s="89" t="str">
        <f>IF(F418="","",VLOOKUP($C418,CadSet!$C$7:$E$26,2,FALSE))</f>
        <v/>
      </c>
      <c r="H418" s="90" t="str">
        <f>IF(G418="","",VLOOKUP($C418,CadSet!$C$7:$E$26,3,FALSE))</f>
        <v/>
      </c>
      <c r="I418" s="91" t="str">
        <f>IF(F418="","",COUNTIFS(tbLancamentos[Equipamento],F418,tbLancamentos[Momento da falha],"&gt;="&amp;Res!$C$9,tbLancamentos[Momento da falha],"&lt;"&amp;Res!$O$9)+K418)</f>
        <v/>
      </c>
      <c r="J418" s="83" t="str">
        <f>IF(F418="","",SUMIFS(tbLancamentos[Tempo indisponível],tbLancamentos[Equipamento],F418,tbLancamentos[Momento da falha],"&gt;="&amp;Res!$C$9,tbLancamentos[Momento da falha],"&lt;"&amp;Res!$O$9)+K418)</f>
        <v/>
      </c>
      <c r="K418" s="79">
        <v>9.5889999999996603E-5</v>
      </c>
      <c r="L418" s="71" t="str">
        <f>IF(F418="","",IFERROR(COUNTIFS(tbLancamentos[Equipamento],F418,tbLancamentos[Momento da falha],"&gt;"&amp;0,tbLancamentos[Momento do retorno],""),0))</f>
        <v/>
      </c>
    </row>
    <row r="419" spans="2:12" ht="20.100000000000001" customHeight="1" x14ac:dyDescent="0.25">
      <c r="B419" s="87">
        <v>413</v>
      </c>
      <c r="C419" s="88"/>
      <c r="D419" s="74"/>
      <c r="E419" s="74"/>
      <c r="F419" s="84" t="str">
        <f t="shared" si="6"/>
        <v/>
      </c>
      <c r="G419" s="89" t="str">
        <f>IF(F419="","",VLOOKUP($C419,CadSet!$C$7:$E$26,2,FALSE))</f>
        <v/>
      </c>
      <c r="H419" s="90" t="str">
        <f>IF(G419="","",VLOOKUP($C419,CadSet!$C$7:$E$26,3,FALSE))</f>
        <v/>
      </c>
      <c r="I419" s="91" t="str">
        <f>IF(F419="","",COUNTIFS(tbLancamentos[Equipamento],F419,tbLancamentos[Momento da falha],"&gt;="&amp;Res!$C$9,tbLancamentos[Momento da falha],"&lt;"&amp;Res!$O$9)+K419)</f>
        <v/>
      </c>
      <c r="J419" s="83" t="str">
        <f>IF(F419="","",SUMIFS(tbLancamentos[Tempo indisponível],tbLancamentos[Equipamento],F419,tbLancamentos[Momento da falha],"&gt;="&amp;Res!$C$9,tbLancamentos[Momento da falha],"&lt;"&amp;Res!$O$9)+K419)</f>
        <v/>
      </c>
      <c r="K419" s="79">
        <v>9.5879999999996595E-5</v>
      </c>
      <c r="L419" s="71" t="str">
        <f>IF(F419="","",IFERROR(COUNTIFS(tbLancamentos[Equipamento],F419,tbLancamentos[Momento da falha],"&gt;"&amp;0,tbLancamentos[Momento do retorno],""),0))</f>
        <v/>
      </c>
    </row>
    <row r="420" spans="2:12" ht="20.100000000000001" customHeight="1" x14ac:dyDescent="0.25">
      <c r="B420" s="87">
        <v>414</v>
      </c>
      <c r="C420" s="88"/>
      <c r="D420" s="74"/>
      <c r="E420" s="74"/>
      <c r="F420" s="84" t="str">
        <f t="shared" si="6"/>
        <v/>
      </c>
      <c r="G420" s="89" t="str">
        <f>IF(F420="","",VLOOKUP($C420,CadSet!$C$7:$E$26,2,FALSE))</f>
        <v/>
      </c>
      <c r="H420" s="90" t="str">
        <f>IF(G420="","",VLOOKUP($C420,CadSet!$C$7:$E$26,3,FALSE))</f>
        <v/>
      </c>
      <c r="I420" s="91" t="str">
        <f>IF(F420="","",COUNTIFS(tbLancamentos[Equipamento],F420,tbLancamentos[Momento da falha],"&gt;="&amp;Res!$C$9,tbLancamentos[Momento da falha],"&lt;"&amp;Res!$O$9)+K420)</f>
        <v/>
      </c>
      <c r="J420" s="83" t="str">
        <f>IF(F420="","",SUMIFS(tbLancamentos[Tempo indisponível],tbLancamentos[Equipamento],F420,tbLancamentos[Momento da falha],"&gt;="&amp;Res!$C$9,tbLancamentos[Momento da falha],"&lt;"&amp;Res!$O$9)+K420)</f>
        <v/>
      </c>
      <c r="K420" s="79">
        <v>9.5869999999996505E-5</v>
      </c>
      <c r="L420" s="71" t="str">
        <f>IF(F420="","",IFERROR(COUNTIFS(tbLancamentos[Equipamento],F420,tbLancamentos[Momento da falha],"&gt;"&amp;0,tbLancamentos[Momento do retorno],""),0))</f>
        <v/>
      </c>
    </row>
    <row r="421" spans="2:12" ht="20.100000000000001" customHeight="1" x14ac:dyDescent="0.25">
      <c r="B421" s="87">
        <v>415</v>
      </c>
      <c r="C421" s="88"/>
      <c r="D421" s="74"/>
      <c r="E421" s="74"/>
      <c r="F421" s="84" t="str">
        <f t="shared" si="6"/>
        <v/>
      </c>
      <c r="G421" s="89" t="str">
        <f>IF(F421="","",VLOOKUP($C421,CadSet!$C$7:$E$26,2,FALSE))</f>
        <v/>
      </c>
      <c r="H421" s="90" t="str">
        <f>IF(G421="","",VLOOKUP($C421,CadSet!$C$7:$E$26,3,FALSE))</f>
        <v/>
      </c>
      <c r="I421" s="91" t="str">
        <f>IF(F421="","",COUNTIFS(tbLancamentos[Equipamento],F421,tbLancamentos[Momento da falha],"&gt;="&amp;Res!$C$9,tbLancamentos[Momento da falha],"&lt;"&amp;Res!$O$9)+K421)</f>
        <v/>
      </c>
      <c r="J421" s="83" t="str">
        <f>IF(F421="","",SUMIFS(tbLancamentos[Tempo indisponível],tbLancamentos[Equipamento],F421,tbLancamentos[Momento da falha],"&gt;="&amp;Res!$C$9,tbLancamentos[Momento da falha],"&lt;"&amp;Res!$O$9)+K421)</f>
        <v/>
      </c>
      <c r="K421" s="79">
        <v>9.5859999999996497E-5</v>
      </c>
      <c r="L421" s="71" t="str">
        <f>IF(F421="","",IFERROR(COUNTIFS(tbLancamentos[Equipamento],F421,tbLancamentos[Momento da falha],"&gt;"&amp;0,tbLancamentos[Momento do retorno],""),0))</f>
        <v/>
      </c>
    </row>
    <row r="422" spans="2:12" ht="20.100000000000001" customHeight="1" x14ac:dyDescent="0.25">
      <c r="B422" s="87">
        <v>416</v>
      </c>
      <c r="C422" s="88"/>
      <c r="D422" s="74"/>
      <c r="E422" s="74"/>
      <c r="F422" s="84" t="str">
        <f t="shared" si="6"/>
        <v/>
      </c>
      <c r="G422" s="89" t="str">
        <f>IF(F422="","",VLOOKUP($C422,CadSet!$C$7:$E$26,2,FALSE))</f>
        <v/>
      </c>
      <c r="H422" s="90" t="str">
        <f>IF(G422="","",VLOOKUP($C422,CadSet!$C$7:$E$26,3,FALSE))</f>
        <v/>
      </c>
      <c r="I422" s="91" t="str">
        <f>IF(F422="","",COUNTIFS(tbLancamentos[Equipamento],F422,tbLancamentos[Momento da falha],"&gt;="&amp;Res!$C$9,tbLancamentos[Momento da falha],"&lt;"&amp;Res!$O$9)+K422)</f>
        <v/>
      </c>
      <c r="J422" s="83" t="str">
        <f>IF(F422="","",SUMIFS(tbLancamentos[Tempo indisponível],tbLancamentos[Equipamento],F422,tbLancamentos[Momento da falha],"&gt;="&amp;Res!$C$9,tbLancamentos[Momento da falha],"&lt;"&amp;Res!$O$9)+K422)</f>
        <v/>
      </c>
      <c r="K422" s="79">
        <v>9.5849999999996502E-5</v>
      </c>
      <c r="L422" s="71" t="str">
        <f>IF(F422="","",IFERROR(COUNTIFS(tbLancamentos[Equipamento],F422,tbLancamentos[Momento da falha],"&gt;"&amp;0,tbLancamentos[Momento do retorno],""),0))</f>
        <v/>
      </c>
    </row>
    <row r="423" spans="2:12" ht="20.100000000000001" customHeight="1" x14ac:dyDescent="0.25">
      <c r="B423" s="87">
        <v>417</v>
      </c>
      <c r="C423" s="88"/>
      <c r="D423" s="74"/>
      <c r="E423" s="74"/>
      <c r="F423" s="84" t="str">
        <f t="shared" si="6"/>
        <v/>
      </c>
      <c r="G423" s="89" t="str">
        <f>IF(F423="","",VLOOKUP($C423,CadSet!$C$7:$E$26,2,FALSE))</f>
        <v/>
      </c>
      <c r="H423" s="90" t="str">
        <f>IF(G423="","",VLOOKUP($C423,CadSet!$C$7:$E$26,3,FALSE))</f>
        <v/>
      </c>
      <c r="I423" s="91" t="str">
        <f>IF(F423="","",COUNTIFS(tbLancamentos[Equipamento],F423,tbLancamentos[Momento da falha],"&gt;="&amp;Res!$C$9,tbLancamentos[Momento da falha],"&lt;"&amp;Res!$O$9)+K423)</f>
        <v/>
      </c>
      <c r="J423" s="83" t="str">
        <f>IF(F423="","",SUMIFS(tbLancamentos[Tempo indisponível],tbLancamentos[Equipamento],F423,tbLancamentos[Momento da falha],"&gt;="&amp;Res!$C$9,tbLancamentos[Momento da falha],"&lt;"&amp;Res!$O$9)+K423)</f>
        <v/>
      </c>
      <c r="K423" s="79">
        <v>9.5839999999996494E-5</v>
      </c>
      <c r="L423" s="71" t="str">
        <f>IF(F423="","",IFERROR(COUNTIFS(tbLancamentos[Equipamento],F423,tbLancamentos[Momento da falha],"&gt;"&amp;0,tbLancamentos[Momento do retorno],""),0))</f>
        <v/>
      </c>
    </row>
    <row r="424" spans="2:12" ht="20.100000000000001" customHeight="1" x14ac:dyDescent="0.25">
      <c r="B424" s="87">
        <v>418</v>
      </c>
      <c r="C424" s="88"/>
      <c r="D424" s="74"/>
      <c r="E424" s="74"/>
      <c r="F424" s="84" t="str">
        <f t="shared" si="6"/>
        <v/>
      </c>
      <c r="G424" s="89" t="str">
        <f>IF(F424="","",VLOOKUP($C424,CadSet!$C$7:$E$26,2,FALSE))</f>
        <v/>
      </c>
      <c r="H424" s="90" t="str">
        <f>IF(G424="","",VLOOKUP($C424,CadSet!$C$7:$E$26,3,FALSE))</f>
        <v/>
      </c>
      <c r="I424" s="91" t="str">
        <f>IF(F424="","",COUNTIFS(tbLancamentos[Equipamento],F424,tbLancamentos[Momento da falha],"&gt;="&amp;Res!$C$9,tbLancamentos[Momento da falha],"&lt;"&amp;Res!$O$9)+K424)</f>
        <v/>
      </c>
      <c r="J424" s="83" t="str">
        <f>IF(F424="","",SUMIFS(tbLancamentos[Tempo indisponível],tbLancamentos[Equipamento],F424,tbLancamentos[Momento da falha],"&gt;="&amp;Res!$C$9,tbLancamentos[Momento da falha],"&lt;"&amp;Res!$O$9)+K424)</f>
        <v/>
      </c>
      <c r="K424" s="79">
        <v>9.5829999999996499E-5</v>
      </c>
      <c r="L424" s="71" t="str">
        <f>IF(F424="","",IFERROR(COUNTIFS(tbLancamentos[Equipamento],F424,tbLancamentos[Momento da falha],"&gt;"&amp;0,tbLancamentos[Momento do retorno],""),0))</f>
        <v/>
      </c>
    </row>
    <row r="425" spans="2:12" ht="20.100000000000001" customHeight="1" x14ac:dyDescent="0.25">
      <c r="B425" s="87">
        <v>419</v>
      </c>
      <c r="C425" s="88"/>
      <c r="D425" s="74"/>
      <c r="E425" s="74"/>
      <c r="F425" s="84" t="str">
        <f t="shared" si="6"/>
        <v/>
      </c>
      <c r="G425" s="89" t="str">
        <f>IF(F425="","",VLOOKUP($C425,CadSet!$C$7:$E$26,2,FALSE))</f>
        <v/>
      </c>
      <c r="H425" s="90" t="str">
        <f>IF(G425="","",VLOOKUP($C425,CadSet!$C$7:$E$26,3,FALSE))</f>
        <v/>
      </c>
      <c r="I425" s="91" t="str">
        <f>IF(F425="","",COUNTIFS(tbLancamentos[Equipamento],F425,tbLancamentos[Momento da falha],"&gt;="&amp;Res!$C$9,tbLancamentos[Momento da falha],"&lt;"&amp;Res!$O$9)+K425)</f>
        <v/>
      </c>
      <c r="J425" s="83" t="str">
        <f>IF(F425="","",SUMIFS(tbLancamentos[Tempo indisponível],tbLancamentos[Equipamento],F425,tbLancamentos[Momento da falha],"&gt;="&amp;Res!$C$9,tbLancamentos[Momento da falha],"&lt;"&amp;Res!$O$9)+K425)</f>
        <v/>
      </c>
      <c r="K425" s="79">
        <v>9.5819999999996504E-5</v>
      </c>
      <c r="L425" s="71" t="str">
        <f>IF(F425="","",IFERROR(COUNTIFS(tbLancamentos[Equipamento],F425,tbLancamentos[Momento da falha],"&gt;"&amp;0,tbLancamentos[Momento do retorno],""),0))</f>
        <v/>
      </c>
    </row>
    <row r="426" spans="2:12" ht="20.100000000000001" customHeight="1" x14ac:dyDescent="0.25">
      <c r="B426" s="87">
        <v>420</v>
      </c>
      <c r="C426" s="88"/>
      <c r="D426" s="74"/>
      <c r="E426" s="74"/>
      <c r="F426" s="84" t="str">
        <f t="shared" si="6"/>
        <v/>
      </c>
      <c r="G426" s="89" t="str">
        <f>IF(F426="","",VLOOKUP($C426,CadSet!$C$7:$E$26,2,FALSE))</f>
        <v/>
      </c>
      <c r="H426" s="90" t="str">
        <f>IF(G426="","",VLOOKUP($C426,CadSet!$C$7:$E$26,3,FALSE))</f>
        <v/>
      </c>
      <c r="I426" s="91" t="str">
        <f>IF(F426="","",COUNTIFS(tbLancamentos[Equipamento],F426,tbLancamentos[Momento da falha],"&gt;="&amp;Res!$C$9,tbLancamentos[Momento da falha],"&lt;"&amp;Res!$O$9)+K426)</f>
        <v/>
      </c>
      <c r="J426" s="83" t="str">
        <f>IF(F426="","",SUMIFS(tbLancamentos[Tempo indisponível],tbLancamentos[Equipamento],F426,tbLancamentos[Momento da falha],"&gt;="&amp;Res!$C$9,tbLancamentos[Momento da falha],"&lt;"&amp;Res!$O$9)+K426)</f>
        <v/>
      </c>
      <c r="K426" s="79">
        <v>9.5809999999996496E-5</v>
      </c>
      <c r="L426" s="71" t="str">
        <f>IF(F426="","",IFERROR(COUNTIFS(tbLancamentos[Equipamento],F426,tbLancamentos[Momento da falha],"&gt;"&amp;0,tbLancamentos[Momento do retorno],""),0))</f>
        <v/>
      </c>
    </row>
    <row r="427" spans="2:12" ht="20.100000000000001" customHeight="1" x14ac:dyDescent="0.25">
      <c r="B427" s="87">
        <v>421</v>
      </c>
      <c r="C427" s="88"/>
      <c r="D427" s="74"/>
      <c r="E427" s="74"/>
      <c r="F427" s="84" t="str">
        <f t="shared" si="6"/>
        <v/>
      </c>
      <c r="G427" s="89" t="str">
        <f>IF(F427="","",VLOOKUP($C427,CadSet!$C$7:$E$26,2,FALSE))</f>
        <v/>
      </c>
      <c r="H427" s="90" t="str">
        <f>IF(G427="","",VLOOKUP($C427,CadSet!$C$7:$E$26,3,FALSE))</f>
        <v/>
      </c>
      <c r="I427" s="91" t="str">
        <f>IF(F427="","",COUNTIFS(tbLancamentos[Equipamento],F427,tbLancamentos[Momento da falha],"&gt;="&amp;Res!$C$9,tbLancamentos[Momento da falha],"&lt;"&amp;Res!$O$9)+K427)</f>
        <v/>
      </c>
      <c r="J427" s="83" t="str">
        <f>IF(F427="","",SUMIFS(tbLancamentos[Tempo indisponível],tbLancamentos[Equipamento],F427,tbLancamentos[Momento da falha],"&gt;="&amp;Res!$C$9,tbLancamentos[Momento da falha],"&lt;"&amp;Res!$O$9)+K427)</f>
        <v/>
      </c>
      <c r="K427" s="79">
        <v>9.5799999999996501E-5</v>
      </c>
      <c r="L427" s="71" t="str">
        <f>IF(F427="","",IFERROR(COUNTIFS(tbLancamentos[Equipamento],F427,tbLancamentos[Momento da falha],"&gt;"&amp;0,tbLancamentos[Momento do retorno],""),0))</f>
        <v/>
      </c>
    </row>
    <row r="428" spans="2:12" ht="20.100000000000001" customHeight="1" x14ac:dyDescent="0.25">
      <c r="B428" s="87">
        <v>422</v>
      </c>
      <c r="C428" s="88"/>
      <c r="D428" s="74"/>
      <c r="E428" s="74"/>
      <c r="F428" s="84" t="str">
        <f t="shared" si="6"/>
        <v/>
      </c>
      <c r="G428" s="89" t="str">
        <f>IF(F428="","",VLOOKUP($C428,CadSet!$C$7:$E$26,2,FALSE))</f>
        <v/>
      </c>
      <c r="H428" s="90" t="str">
        <f>IF(G428="","",VLOOKUP($C428,CadSet!$C$7:$E$26,3,FALSE))</f>
        <v/>
      </c>
      <c r="I428" s="91" t="str">
        <f>IF(F428="","",COUNTIFS(tbLancamentos[Equipamento],F428,tbLancamentos[Momento da falha],"&gt;="&amp;Res!$C$9,tbLancamentos[Momento da falha],"&lt;"&amp;Res!$O$9)+K428)</f>
        <v/>
      </c>
      <c r="J428" s="83" t="str">
        <f>IF(F428="","",SUMIFS(tbLancamentos[Tempo indisponível],tbLancamentos[Equipamento],F428,tbLancamentos[Momento da falha],"&gt;="&amp;Res!$C$9,tbLancamentos[Momento da falha],"&lt;"&amp;Res!$O$9)+K428)</f>
        <v/>
      </c>
      <c r="K428" s="79">
        <v>9.5789999999996506E-5</v>
      </c>
      <c r="L428" s="71" t="str">
        <f>IF(F428="","",IFERROR(COUNTIFS(tbLancamentos[Equipamento],F428,tbLancamentos[Momento da falha],"&gt;"&amp;0,tbLancamentos[Momento do retorno],""),0))</f>
        <v/>
      </c>
    </row>
    <row r="429" spans="2:12" ht="20.100000000000001" customHeight="1" x14ac:dyDescent="0.25">
      <c r="B429" s="87">
        <v>423</v>
      </c>
      <c r="C429" s="88"/>
      <c r="D429" s="74"/>
      <c r="E429" s="74"/>
      <c r="F429" s="84" t="str">
        <f t="shared" si="6"/>
        <v/>
      </c>
      <c r="G429" s="89" t="str">
        <f>IF(F429="","",VLOOKUP($C429,CadSet!$C$7:$E$26,2,FALSE))</f>
        <v/>
      </c>
      <c r="H429" s="90" t="str">
        <f>IF(G429="","",VLOOKUP($C429,CadSet!$C$7:$E$26,3,FALSE))</f>
        <v/>
      </c>
      <c r="I429" s="91" t="str">
        <f>IF(F429="","",COUNTIFS(tbLancamentos[Equipamento],F429,tbLancamentos[Momento da falha],"&gt;="&amp;Res!$C$9,tbLancamentos[Momento da falha],"&lt;"&amp;Res!$O$9)+K429)</f>
        <v/>
      </c>
      <c r="J429" s="83" t="str">
        <f>IF(F429="","",SUMIFS(tbLancamentos[Tempo indisponível],tbLancamentos[Equipamento],F429,tbLancamentos[Momento da falha],"&gt;="&amp;Res!$C$9,tbLancamentos[Momento da falha],"&lt;"&amp;Res!$O$9)+K429)</f>
        <v/>
      </c>
      <c r="K429" s="79">
        <v>9.5779999999996498E-5</v>
      </c>
      <c r="L429" s="71" t="str">
        <f>IF(F429="","",IFERROR(COUNTIFS(tbLancamentos[Equipamento],F429,tbLancamentos[Momento da falha],"&gt;"&amp;0,tbLancamentos[Momento do retorno],""),0))</f>
        <v/>
      </c>
    </row>
    <row r="430" spans="2:12" ht="20.100000000000001" customHeight="1" x14ac:dyDescent="0.25">
      <c r="B430" s="87">
        <v>424</v>
      </c>
      <c r="C430" s="88"/>
      <c r="D430" s="74"/>
      <c r="E430" s="74"/>
      <c r="F430" s="84" t="str">
        <f t="shared" si="6"/>
        <v/>
      </c>
      <c r="G430" s="89" t="str">
        <f>IF(F430="","",VLOOKUP($C430,CadSet!$C$7:$E$26,2,FALSE))</f>
        <v/>
      </c>
      <c r="H430" s="90" t="str">
        <f>IF(G430="","",VLOOKUP($C430,CadSet!$C$7:$E$26,3,FALSE))</f>
        <v/>
      </c>
      <c r="I430" s="91" t="str">
        <f>IF(F430="","",COUNTIFS(tbLancamentos[Equipamento],F430,tbLancamentos[Momento da falha],"&gt;="&amp;Res!$C$9,tbLancamentos[Momento da falha],"&lt;"&amp;Res!$O$9)+K430)</f>
        <v/>
      </c>
      <c r="J430" s="83" t="str">
        <f>IF(F430="","",SUMIFS(tbLancamentos[Tempo indisponível],tbLancamentos[Equipamento],F430,tbLancamentos[Momento da falha],"&gt;="&amp;Res!$C$9,tbLancamentos[Momento da falha],"&lt;"&amp;Res!$O$9)+K430)</f>
        <v/>
      </c>
      <c r="K430" s="79">
        <v>9.5769999999996503E-5</v>
      </c>
      <c r="L430" s="71" t="str">
        <f>IF(F430="","",IFERROR(COUNTIFS(tbLancamentos[Equipamento],F430,tbLancamentos[Momento da falha],"&gt;"&amp;0,tbLancamentos[Momento do retorno],""),0))</f>
        <v/>
      </c>
    </row>
    <row r="431" spans="2:12" ht="20.100000000000001" customHeight="1" x14ac:dyDescent="0.25">
      <c r="B431" s="87">
        <v>425</v>
      </c>
      <c r="C431" s="88"/>
      <c r="D431" s="74"/>
      <c r="E431" s="74"/>
      <c r="F431" s="84" t="str">
        <f t="shared" si="6"/>
        <v/>
      </c>
      <c r="G431" s="89" t="str">
        <f>IF(F431="","",VLOOKUP($C431,CadSet!$C$7:$E$26,2,FALSE))</f>
        <v/>
      </c>
      <c r="H431" s="90" t="str">
        <f>IF(G431="","",VLOOKUP($C431,CadSet!$C$7:$E$26,3,FALSE))</f>
        <v/>
      </c>
      <c r="I431" s="91" t="str">
        <f>IF(F431="","",COUNTIFS(tbLancamentos[Equipamento],F431,tbLancamentos[Momento da falha],"&gt;="&amp;Res!$C$9,tbLancamentos[Momento da falha],"&lt;"&amp;Res!$O$9)+K431)</f>
        <v/>
      </c>
      <c r="J431" s="83" t="str">
        <f>IF(F431="","",SUMIFS(tbLancamentos[Tempo indisponível],tbLancamentos[Equipamento],F431,tbLancamentos[Momento da falha],"&gt;="&amp;Res!$C$9,tbLancamentos[Momento da falha],"&lt;"&amp;Res!$O$9)+K431)</f>
        <v/>
      </c>
      <c r="K431" s="79">
        <v>9.5759999999996495E-5</v>
      </c>
      <c r="L431" s="71" t="str">
        <f>IF(F431="","",IFERROR(COUNTIFS(tbLancamentos[Equipamento],F431,tbLancamentos[Momento da falha],"&gt;"&amp;0,tbLancamentos[Momento do retorno],""),0))</f>
        <v/>
      </c>
    </row>
    <row r="432" spans="2:12" ht="20.100000000000001" customHeight="1" x14ac:dyDescent="0.25">
      <c r="B432" s="87">
        <v>426</v>
      </c>
      <c r="C432" s="88"/>
      <c r="D432" s="74"/>
      <c r="E432" s="74"/>
      <c r="F432" s="84" t="str">
        <f t="shared" si="6"/>
        <v/>
      </c>
      <c r="G432" s="89" t="str">
        <f>IF(F432="","",VLOOKUP($C432,CadSet!$C$7:$E$26,2,FALSE))</f>
        <v/>
      </c>
      <c r="H432" s="90" t="str">
        <f>IF(G432="","",VLOOKUP($C432,CadSet!$C$7:$E$26,3,FALSE))</f>
        <v/>
      </c>
      <c r="I432" s="91" t="str">
        <f>IF(F432="","",COUNTIFS(tbLancamentos[Equipamento],F432,tbLancamentos[Momento da falha],"&gt;="&amp;Res!$C$9,tbLancamentos[Momento da falha],"&lt;"&amp;Res!$O$9)+K432)</f>
        <v/>
      </c>
      <c r="J432" s="83" t="str">
        <f>IF(F432="","",SUMIFS(tbLancamentos[Tempo indisponível],tbLancamentos[Equipamento],F432,tbLancamentos[Momento da falha],"&gt;="&amp;Res!$C$9,tbLancamentos[Momento da falha],"&lt;"&amp;Res!$O$9)+K432)</f>
        <v/>
      </c>
      <c r="K432" s="79">
        <v>9.5749999999996405E-5</v>
      </c>
      <c r="L432" s="71" t="str">
        <f>IF(F432="","",IFERROR(COUNTIFS(tbLancamentos[Equipamento],F432,tbLancamentos[Momento da falha],"&gt;"&amp;0,tbLancamentos[Momento do retorno],""),0))</f>
        <v/>
      </c>
    </row>
    <row r="433" spans="2:12" ht="20.100000000000001" customHeight="1" x14ac:dyDescent="0.25">
      <c r="B433" s="87">
        <v>427</v>
      </c>
      <c r="C433" s="88"/>
      <c r="D433" s="74"/>
      <c r="E433" s="74"/>
      <c r="F433" s="84" t="str">
        <f t="shared" si="6"/>
        <v/>
      </c>
      <c r="G433" s="89" t="str">
        <f>IF(F433="","",VLOOKUP($C433,CadSet!$C$7:$E$26,2,FALSE))</f>
        <v/>
      </c>
      <c r="H433" s="90" t="str">
        <f>IF(G433="","",VLOOKUP($C433,CadSet!$C$7:$E$26,3,FALSE))</f>
        <v/>
      </c>
      <c r="I433" s="91" t="str">
        <f>IF(F433="","",COUNTIFS(tbLancamentos[Equipamento],F433,tbLancamentos[Momento da falha],"&gt;="&amp;Res!$C$9,tbLancamentos[Momento da falha],"&lt;"&amp;Res!$O$9)+K433)</f>
        <v/>
      </c>
      <c r="J433" s="83" t="str">
        <f>IF(F433="","",SUMIFS(tbLancamentos[Tempo indisponível],tbLancamentos[Equipamento],F433,tbLancamentos[Momento da falha],"&gt;="&amp;Res!$C$9,tbLancamentos[Momento da falha],"&lt;"&amp;Res!$O$9)+K433)</f>
        <v/>
      </c>
      <c r="K433" s="79">
        <v>9.5739999999996397E-5</v>
      </c>
      <c r="L433" s="71" t="str">
        <f>IF(F433="","",IFERROR(COUNTIFS(tbLancamentos[Equipamento],F433,tbLancamentos[Momento da falha],"&gt;"&amp;0,tbLancamentos[Momento do retorno],""),0))</f>
        <v/>
      </c>
    </row>
    <row r="434" spans="2:12" ht="20.100000000000001" customHeight="1" x14ac:dyDescent="0.25">
      <c r="B434" s="87">
        <v>428</v>
      </c>
      <c r="C434" s="88"/>
      <c r="D434" s="74"/>
      <c r="E434" s="74"/>
      <c r="F434" s="84" t="str">
        <f t="shared" si="6"/>
        <v/>
      </c>
      <c r="G434" s="89" t="str">
        <f>IF(F434="","",VLOOKUP($C434,CadSet!$C$7:$E$26,2,FALSE))</f>
        <v/>
      </c>
      <c r="H434" s="90" t="str">
        <f>IF(G434="","",VLOOKUP($C434,CadSet!$C$7:$E$26,3,FALSE))</f>
        <v/>
      </c>
      <c r="I434" s="91" t="str">
        <f>IF(F434="","",COUNTIFS(tbLancamentos[Equipamento],F434,tbLancamentos[Momento da falha],"&gt;="&amp;Res!$C$9,tbLancamentos[Momento da falha],"&lt;"&amp;Res!$O$9)+K434)</f>
        <v/>
      </c>
      <c r="J434" s="83" t="str">
        <f>IF(F434="","",SUMIFS(tbLancamentos[Tempo indisponível],tbLancamentos[Equipamento],F434,tbLancamentos[Momento da falha],"&gt;="&amp;Res!$C$9,tbLancamentos[Momento da falha],"&lt;"&amp;Res!$O$9)+K434)</f>
        <v/>
      </c>
      <c r="K434" s="79">
        <v>9.5729999999996402E-5</v>
      </c>
      <c r="L434" s="71" t="str">
        <f>IF(F434="","",IFERROR(COUNTIFS(tbLancamentos[Equipamento],F434,tbLancamentos[Momento da falha],"&gt;"&amp;0,tbLancamentos[Momento do retorno],""),0))</f>
        <v/>
      </c>
    </row>
    <row r="435" spans="2:12" ht="20.100000000000001" customHeight="1" x14ac:dyDescent="0.25">
      <c r="B435" s="87">
        <v>429</v>
      </c>
      <c r="C435" s="88"/>
      <c r="D435" s="74"/>
      <c r="E435" s="74"/>
      <c r="F435" s="84" t="str">
        <f t="shared" si="6"/>
        <v/>
      </c>
      <c r="G435" s="89" t="str">
        <f>IF(F435="","",VLOOKUP($C435,CadSet!$C$7:$E$26,2,FALSE))</f>
        <v/>
      </c>
      <c r="H435" s="90" t="str">
        <f>IF(G435="","",VLOOKUP($C435,CadSet!$C$7:$E$26,3,FALSE))</f>
        <v/>
      </c>
      <c r="I435" s="91" t="str">
        <f>IF(F435="","",COUNTIFS(tbLancamentos[Equipamento],F435,tbLancamentos[Momento da falha],"&gt;="&amp;Res!$C$9,tbLancamentos[Momento da falha],"&lt;"&amp;Res!$O$9)+K435)</f>
        <v/>
      </c>
      <c r="J435" s="83" t="str">
        <f>IF(F435="","",SUMIFS(tbLancamentos[Tempo indisponível],tbLancamentos[Equipamento],F435,tbLancamentos[Momento da falha],"&gt;="&amp;Res!$C$9,tbLancamentos[Momento da falha],"&lt;"&amp;Res!$O$9)+K435)</f>
        <v/>
      </c>
      <c r="K435" s="79">
        <v>9.5719999999996393E-5</v>
      </c>
      <c r="L435" s="71" t="str">
        <f>IF(F435="","",IFERROR(COUNTIFS(tbLancamentos[Equipamento],F435,tbLancamentos[Momento da falha],"&gt;"&amp;0,tbLancamentos[Momento do retorno],""),0))</f>
        <v/>
      </c>
    </row>
    <row r="436" spans="2:12" ht="20.100000000000001" customHeight="1" x14ac:dyDescent="0.25">
      <c r="B436" s="87">
        <v>430</v>
      </c>
      <c r="C436" s="88"/>
      <c r="D436" s="74"/>
      <c r="E436" s="74"/>
      <c r="F436" s="84" t="str">
        <f t="shared" si="6"/>
        <v/>
      </c>
      <c r="G436" s="89" t="str">
        <f>IF(F436="","",VLOOKUP($C436,CadSet!$C$7:$E$26,2,FALSE))</f>
        <v/>
      </c>
      <c r="H436" s="90" t="str">
        <f>IF(G436="","",VLOOKUP($C436,CadSet!$C$7:$E$26,3,FALSE))</f>
        <v/>
      </c>
      <c r="I436" s="91" t="str">
        <f>IF(F436="","",COUNTIFS(tbLancamentos[Equipamento],F436,tbLancamentos[Momento da falha],"&gt;="&amp;Res!$C$9,tbLancamentos[Momento da falha],"&lt;"&amp;Res!$O$9)+K436)</f>
        <v/>
      </c>
      <c r="J436" s="83" t="str">
        <f>IF(F436="","",SUMIFS(tbLancamentos[Tempo indisponível],tbLancamentos[Equipamento],F436,tbLancamentos[Momento da falha],"&gt;="&amp;Res!$C$9,tbLancamentos[Momento da falha],"&lt;"&amp;Res!$O$9)+K436)</f>
        <v/>
      </c>
      <c r="K436" s="79">
        <v>9.5709999999996399E-5</v>
      </c>
      <c r="L436" s="71" t="str">
        <f>IF(F436="","",IFERROR(COUNTIFS(tbLancamentos[Equipamento],F436,tbLancamentos[Momento da falha],"&gt;"&amp;0,tbLancamentos[Momento do retorno],""),0))</f>
        <v/>
      </c>
    </row>
    <row r="437" spans="2:12" ht="20.100000000000001" customHeight="1" x14ac:dyDescent="0.25">
      <c r="B437" s="87">
        <v>431</v>
      </c>
      <c r="C437" s="88"/>
      <c r="D437" s="74"/>
      <c r="E437" s="74"/>
      <c r="F437" s="84" t="str">
        <f t="shared" si="6"/>
        <v/>
      </c>
      <c r="G437" s="89" t="str">
        <f>IF(F437="","",VLOOKUP($C437,CadSet!$C$7:$E$26,2,FALSE))</f>
        <v/>
      </c>
      <c r="H437" s="90" t="str">
        <f>IF(G437="","",VLOOKUP($C437,CadSet!$C$7:$E$26,3,FALSE))</f>
        <v/>
      </c>
      <c r="I437" s="91" t="str">
        <f>IF(F437="","",COUNTIFS(tbLancamentos[Equipamento],F437,tbLancamentos[Momento da falha],"&gt;="&amp;Res!$C$9,tbLancamentos[Momento da falha],"&lt;"&amp;Res!$O$9)+K437)</f>
        <v/>
      </c>
      <c r="J437" s="83" t="str">
        <f>IF(F437="","",SUMIFS(tbLancamentos[Tempo indisponível],tbLancamentos[Equipamento],F437,tbLancamentos[Momento da falha],"&gt;="&amp;Res!$C$9,tbLancamentos[Momento da falha],"&lt;"&amp;Res!$O$9)+K437)</f>
        <v/>
      </c>
      <c r="K437" s="79">
        <v>9.5699999999996404E-5</v>
      </c>
      <c r="L437" s="71" t="str">
        <f>IF(F437="","",IFERROR(COUNTIFS(tbLancamentos[Equipamento],F437,tbLancamentos[Momento da falha],"&gt;"&amp;0,tbLancamentos[Momento do retorno],""),0))</f>
        <v/>
      </c>
    </row>
    <row r="438" spans="2:12" ht="20.100000000000001" customHeight="1" x14ac:dyDescent="0.25">
      <c r="B438" s="87">
        <v>432</v>
      </c>
      <c r="C438" s="88"/>
      <c r="D438" s="74"/>
      <c r="E438" s="74"/>
      <c r="F438" s="84" t="str">
        <f t="shared" si="6"/>
        <v/>
      </c>
      <c r="G438" s="89" t="str">
        <f>IF(F438="","",VLOOKUP($C438,CadSet!$C$7:$E$26,2,FALSE))</f>
        <v/>
      </c>
      <c r="H438" s="90" t="str">
        <f>IF(G438="","",VLOOKUP($C438,CadSet!$C$7:$E$26,3,FALSE))</f>
        <v/>
      </c>
      <c r="I438" s="91" t="str">
        <f>IF(F438="","",COUNTIFS(tbLancamentos[Equipamento],F438,tbLancamentos[Momento da falha],"&gt;="&amp;Res!$C$9,tbLancamentos[Momento da falha],"&lt;"&amp;Res!$O$9)+K438)</f>
        <v/>
      </c>
      <c r="J438" s="83" t="str">
        <f>IF(F438="","",SUMIFS(tbLancamentos[Tempo indisponível],tbLancamentos[Equipamento],F438,tbLancamentos[Momento da falha],"&gt;="&amp;Res!$C$9,tbLancamentos[Momento da falha],"&lt;"&amp;Res!$O$9)+K438)</f>
        <v/>
      </c>
      <c r="K438" s="79">
        <v>9.5689999999996395E-5</v>
      </c>
      <c r="L438" s="71" t="str">
        <f>IF(F438="","",IFERROR(COUNTIFS(tbLancamentos[Equipamento],F438,tbLancamentos[Momento da falha],"&gt;"&amp;0,tbLancamentos[Momento do retorno],""),0))</f>
        <v/>
      </c>
    </row>
    <row r="439" spans="2:12" ht="20.100000000000001" customHeight="1" x14ac:dyDescent="0.25">
      <c r="B439" s="87">
        <v>433</v>
      </c>
      <c r="C439" s="88"/>
      <c r="D439" s="74"/>
      <c r="E439" s="74"/>
      <c r="F439" s="84" t="str">
        <f t="shared" si="6"/>
        <v/>
      </c>
      <c r="G439" s="89" t="str">
        <f>IF(F439="","",VLOOKUP($C439,CadSet!$C$7:$E$26,2,FALSE))</f>
        <v/>
      </c>
      <c r="H439" s="90" t="str">
        <f>IF(G439="","",VLOOKUP($C439,CadSet!$C$7:$E$26,3,FALSE))</f>
        <v/>
      </c>
      <c r="I439" s="91" t="str">
        <f>IF(F439="","",COUNTIFS(tbLancamentos[Equipamento],F439,tbLancamentos[Momento da falha],"&gt;="&amp;Res!$C$9,tbLancamentos[Momento da falha],"&lt;"&amp;Res!$O$9)+K439)</f>
        <v/>
      </c>
      <c r="J439" s="83" t="str">
        <f>IF(F439="","",SUMIFS(tbLancamentos[Tempo indisponível],tbLancamentos[Equipamento],F439,tbLancamentos[Momento da falha],"&gt;="&amp;Res!$C$9,tbLancamentos[Momento da falha],"&lt;"&amp;Res!$O$9)+K439)</f>
        <v/>
      </c>
      <c r="K439" s="79">
        <v>9.5679999999996401E-5</v>
      </c>
      <c r="L439" s="71" t="str">
        <f>IF(F439="","",IFERROR(COUNTIFS(tbLancamentos[Equipamento],F439,tbLancamentos[Momento da falha],"&gt;"&amp;0,tbLancamentos[Momento do retorno],""),0))</f>
        <v/>
      </c>
    </row>
    <row r="440" spans="2:12" ht="20.100000000000001" customHeight="1" x14ac:dyDescent="0.25">
      <c r="B440" s="87">
        <v>434</v>
      </c>
      <c r="C440" s="88"/>
      <c r="D440" s="74"/>
      <c r="E440" s="74"/>
      <c r="F440" s="84" t="str">
        <f t="shared" si="6"/>
        <v/>
      </c>
      <c r="G440" s="89" t="str">
        <f>IF(F440="","",VLOOKUP($C440,CadSet!$C$7:$E$26,2,FALSE))</f>
        <v/>
      </c>
      <c r="H440" s="90" t="str">
        <f>IF(G440="","",VLOOKUP($C440,CadSet!$C$7:$E$26,3,FALSE))</f>
        <v/>
      </c>
      <c r="I440" s="91" t="str">
        <f>IF(F440="","",COUNTIFS(tbLancamentos[Equipamento],F440,tbLancamentos[Momento da falha],"&gt;="&amp;Res!$C$9,tbLancamentos[Momento da falha],"&lt;"&amp;Res!$O$9)+K440)</f>
        <v/>
      </c>
      <c r="J440" s="83" t="str">
        <f>IF(F440="","",SUMIFS(tbLancamentos[Tempo indisponível],tbLancamentos[Equipamento],F440,tbLancamentos[Momento da falha],"&gt;="&amp;Res!$C$9,tbLancamentos[Momento da falha],"&lt;"&amp;Res!$O$9)+K440)</f>
        <v/>
      </c>
      <c r="K440" s="79">
        <v>9.5669999999996406E-5</v>
      </c>
      <c r="L440" s="71" t="str">
        <f>IF(F440="","",IFERROR(COUNTIFS(tbLancamentos[Equipamento],F440,tbLancamentos[Momento da falha],"&gt;"&amp;0,tbLancamentos[Momento do retorno],""),0))</f>
        <v/>
      </c>
    </row>
    <row r="441" spans="2:12" ht="20.100000000000001" customHeight="1" x14ac:dyDescent="0.25">
      <c r="B441" s="87">
        <v>435</v>
      </c>
      <c r="C441" s="88"/>
      <c r="D441" s="74"/>
      <c r="E441" s="74"/>
      <c r="F441" s="84" t="str">
        <f t="shared" si="6"/>
        <v/>
      </c>
      <c r="G441" s="89" t="str">
        <f>IF(F441="","",VLOOKUP($C441,CadSet!$C$7:$E$26,2,FALSE))</f>
        <v/>
      </c>
      <c r="H441" s="90" t="str">
        <f>IF(G441="","",VLOOKUP($C441,CadSet!$C$7:$E$26,3,FALSE))</f>
        <v/>
      </c>
      <c r="I441" s="91" t="str">
        <f>IF(F441="","",COUNTIFS(tbLancamentos[Equipamento],F441,tbLancamentos[Momento da falha],"&gt;="&amp;Res!$C$9,tbLancamentos[Momento da falha],"&lt;"&amp;Res!$O$9)+K441)</f>
        <v/>
      </c>
      <c r="J441" s="83" t="str">
        <f>IF(F441="","",SUMIFS(tbLancamentos[Tempo indisponível],tbLancamentos[Equipamento],F441,tbLancamentos[Momento da falha],"&gt;="&amp;Res!$C$9,tbLancamentos[Momento da falha],"&lt;"&amp;Res!$O$9)+K441)</f>
        <v/>
      </c>
      <c r="K441" s="79">
        <v>9.5659999999996397E-5</v>
      </c>
      <c r="L441" s="71" t="str">
        <f>IF(F441="","",IFERROR(COUNTIFS(tbLancamentos[Equipamento],F441,tbLancamentos[Momento da falha],"&gt;"&amp;0,tbLancamentos[Momento do retorno],""),0))</f>
        <v/>
      </c>
    </row>
    <row r="442" spans="2:12" ht="20.100000000000001" customHeight="1" x14ac:dyDescent="0.25">
      <c r="B442" s="87">
        <v>436</v>
      </c>
      <c r="C442" s="88"/>
      <c r="D442" s="74"/>
      <c r="E442" s="74"/>
      <c r="F442" s="84" t="str">
        <f t="shared" si="6"/>
        <v/>
      </c>
      <c r="G442" s="89" t="str">
        <f>IF(F442="","",VLOOKUP($C442,CadSet!$C$7:$E$26,2,FALSE))</f>
        <v/>
      </c>
      <c r="H442" s="90" t="str">
        <f>IF(G442="","",VLOOKUP($C442,CadSet!$C$7:$E$26,3,FALSE))</f>
        <v/>
      </c>
      <c r="I442" s="91" t="str">
        <f>IF(F442="","",COUNTIFS(tbLancamentos[Equipamento],F442,tbLancamentos[Momento da falha],"&gt;="&amp;Res!$C$9,tbLancamentos[Momento da falha],"&lt;"&amp;Res!$O$9)+K442)</f>
        <v/>
      </c>
      <c r="J442" s="83" t="str">
        <f>IF(F442="","",SUMIFS(tbLancamentos[Tempo indisponível],tbLancamentos[Equipamento],F442,tbLancamentos[Momento da falha],"&gt;="&amp;Res!$C$9,tbLancamentos[Momento da falha],"&lt;"&amp;Res!$O$9)+K442)</f>
        <v/>
      </c>
      <c r="K442" s="79">
        <v>9.5649999999996403E-5</v>
      </c>
      <c r="L442" s="71" t="str">
        <f>IF(F442="","",IFERROR(COUNTIFS(tbLancamentos[Equipamento],F442,tbLancamentos[Momento da falha],"&gt;"&amp;0,tbLancamentos[Momento do retorno],""),0))</f>
        <v/>
      </c>
    </row>
    <row r="443" spans="2:12" ht="20.100000000000001" customHeight="1" x14ac:dyDescent="0.25">
      <c r="B443" s="87">
        <v>437</v>
      </c>
      <c r="C443" s="88"/>
      <c r="D443" s="74"/>
      <c r="E443" s="74"/>
      <c r="F443" s="84" t="str">
        <f t="shared" si="6"/>
        <v/>
      </c>
      <c r="G443" s="89" t="str">
        <f>IF(F443="","",VLOOKUP($C443,CadSet!$C$7:$E$26,2,FALSE))</f>
        <v/>
      </c>
      <c r="H443" s="90" t="str">
        <f>IF(G443="","",VLOOKUP($C443,CadSet!$C$7:$E$26,3,FALSE))</f>
        <v/>
      </c>
      <c r="I443" s="91" t="str">
        <f>IF(F443="","",COUNTIFS(tbLancamentos[Equipamento],F443,tbLancamentos[Momento da falha],"&gt;="&amp;Res!$C$9,tbLancamentos[Momento da falha],"&lt;"&amp;Res!$O$9)+K443)</f>
        <v/>
      </c>
      <c r="J443" s="83" t="str">
        <f>IF(F443="","",SUMIFS(tbLancamentos[Tempo indisponível],tbLancamentos[Equipamento],F443,tbLancamentos[Momento da falha],"&gt;="&amp;Res!$C$9,tbLancamentos[Momento da falha],"&lt;"&amp;Res!$O$9)+K443)</f>
        <v/>
      </c>
      <c r="K443" s="79">
        <v>9.5639999999996394E-5</v>
      </c>
      <c r="L443" s="71" t="str">
        <f>IF(F443="","",IFERROR(COUNTIFS(tbLancamentos[Equipamento],F443,tbLancamentos[Momento da falha],"&gt;"&amp;0,tbLancamentos[Momento do retorno],""),0))</f>
        <v/>
      </c>
    </row>
    <row r="444" spans="2:12" ht="20.100000000000001" customHeight="1" x14ac:dyDescent="0.25">
      <c r="B444" s="87">
        <v>438</v>
      </c>
      <c r="C444" s="88"/>
      <c r="D444" s="74"/>
      <c r="E444" s="74"/>
      <c r="F444" s="84" t="str">
        <f t="shared" si="6"/>
        <v/>
      </c>
      <c r="G444" s="89" t="str">
        <f>IF(F444="","",VLOOKUP($C444,CadSet!$C$7:$E$26,2,FALSE))</f>
        <v/>
      </c>
      <c r="H444" s="90" t="str">
        <f>IF(G444="","",VLOOKUP($C444,CadSet!$C$7:$E$26,3,FALSE))</f>
        <v/>
      </c>
      <c r="I444" s="91" t="str">
        <f>IF(F444="","",COUNTIFS(tbLancamentos[Equipamento],F444,tbLancamentos[Momento da falha],"&gt;="&amp;Res!$C$9,tbLancamentos[Momento da falha],"&lt;"&amp;Res!$O$9)+K444)</f>
        <v/>
      </c>
      <c r="J444" s="83" t="str">
        <f>IF(F444="","",SUMIFS(tbLancamentos[Tempo indisponível],tbLancamentos[Equipamento],F444,tbLancamentos[Momento da falha],"&gt;="&amp;Res!$C$9,tbLancamentos[Momento da falha],"&lt;"&amp;Res!$O$9)+K444)</f>
        <v/>
      </c>
      <c r="K444" s="79">
        <v>9.5629999999996304E-5</v>
      </c>
      <c r="L444" s="71" t="str">
        <f>IF(F444="","",IFERROR(COUNTIFS(tbLancamentos[Equipamento],F444,tbLancamentos[Momento da falha],"&gt;"&amp;0,tbLancamentos[Momento do retorno],""),0))</f>
        <v/>
      </c>
    </row>
    <row r="445" spans="2:12" ht="20.100000000000001" customHeight="1" x14ac:dyDescent="0.25">
      <c r="B445" s="87">
        <v>439</v>
      </c>
      <c r="C445" s="88"/>
      <c r="D445" s="74"/>
      <c r="E445" s="74"/>
      <c r="F445" s="84" t="str">
        <f t="shared" si="6"/>
        <v/>
      </c>
      <c r="G445" s="89" t="str">
        <f>IF(F445="","",VLOOKUP($C445,CadSet!$C$7:$E$26,2,FALSE))</f>
        <v/>
      </c>
      <c r="H445" s="90" t="str">
        <f>IF(G445="","",VLOOKUP($C445,CadSet!$C$7:$E$26,3,FALSE))</f>
        <v/>
      </c>
      <c r="I445" s="91" t="str">
        <f>IF(F445="","",COUNTIFS(tbLancamentos[Equipamento],F445,tbLancamentos[Momento da falha],"&gt;="&amp;Res!$C$9,tbLancamentos[Momento da falha],"&lt;"&amp;Res!$O$9)+K445)</f>
        <v/>
      </c>
      <c r="J445" s="83" t="str">
        <f>IF(F445="","",SUMIFS(tbLancamentos[Tempo indisponível],tbLancamentos[Equipamento],F445,tbLancamentos[Momento da falha],"&gt;="&amp;Res!$C$9,tbLancamentos[Momento da falha],"&lt;"&amp;Res!$O$9)+K445)</f>
        <v/>
      </c>
      <c r="K445" s="79">
        <v>9.5619999999996296E-5</v>
      </c>
      <c r="L445" s="71" t="str">
        <f>IF(F445="","",IFERROR(COUNTIFS(tbLancamentos[Equipamento],F445,tbLancamentos[Momento da falha],"&gt;"&amp;0,tbLancamentos[Momento do retorno],""),0))</f>
        <v/>
      </c>
    </row>
    <row r="446" spans="2:12" ht="20.100000000000001" customHeight="1" x14ac:dyDescent="0.25">
      <c r="B446" s="87">
        <v>440</v>
      </c>
      <c r="C446" s="88"/>
      <c r="D446" s="74"/>
      <c r="E446" s="74"/>
      <c r="F446" s="84" t="str">
        <f t="shared" si="6"/>
        <v/>
      </c>
      <c r="G446" s="89" t="str">
        <f>IF(F446="","",VLOOKUP($C446,CadSet!$C$7:$E$26,2,FALSE))</f>
        <v/>
      </c>
      <c r="H446" s="90" t="str">
        <f>IF(G446="","",VLOOKUP($C446,CadSet!$C$7:$E$26,3,FALSE))</f>
        <v/>
      </c>
      <c r="I446" s="91" t="str">
        <f>IF(F446="","",COUNTIFS(tbLancamentos[Equipamento],F446,tbLancamentos[Momento da falha],"&gt;="&amp;Res!$C$9,tbLancamentos[Momento da falha],"&lt;"&amp;Res!$O$9)+K446)</f>
        <v/>
      </c>
      <c r="J446" s="83" t="str">
        <f>IF(F446="","",SUMIFS(tbLancamentos[Tempo indisponível],tbLancamentos[Equipamento],F446,tbLancamentos[Momento da falha],"&gt;="&amp;Res!$C$9,tbLancamentos[Momento da falha],"&lt;"&amp;Res!$O$9)+K446)</f>
        <v/>
      </c>
      <c r="K446" s="79">
        <v>9.5609999999996301E-5</v>
      </c>
      <c r="L446" s="71" t="str">
        <f>IF(F446="","",IFERROR(COUNTIFS(tbLancamentos[Equipamento],F446,tbLancamentos[Momento da falha],"&gt;"&amp;0,tbLancamentos[Momento do retorno],""),0))</f>
        <v/>
      </c>
    </row>
    <row r="447" spans="2:12" ht="20.100000000000001" customHeight="1" x14ac:dyDescent="0.25">
      <c r="B447" s="87">
        <v>441</v>
      </c>
      <c r="C447" s="88"/>
      <c r="D447" s="74"/>
      <c r="E447" s="74"/>
      <c r="F447" s="84" t="str">
        <f t="shared" si="6"/>
        <v/>
      </c>
      <c r="G447" s="89" t="str">
        <f>IF(F447="","",VLOOKUP($C447,CadSet!$C$7:$E$26,2,FALSE))</f>
        <v/>
      </c>
      <c r="H447" s="90" t="str">
        <f>IF(G447="","",VLOOKUP($C447,CadSet!$C$7:$E$26,3,FALSE))</f>
        <v/>
      </c>
      <c r="I447" s="91" t="str">
        <f>IF(F447="","",COUNTIFS(tbLancamentos[Equipamento],F447,tbLancamentos[Momento da falha],"&gt;="&amp;Res!$C$9,tbLancamentos[Momento da falha],"&lt;"&amp;Res!$O$9)+K447)</f>
        <v/>
      </c>
      <c r="J447" s="83" t="str">
        <f>IF(F447="","",SUMIFS(tbLancamentos[Tempo indisponível],tbLancamentos[Equipamento],F447,tbLancamentos[Momento da falha],"&gt;="&amp;Res!$C$9,tbLancamentos[Momento da falha],"&lt;"&amp;Res!$O$9)+K447)</f>
        <v/>
      </c>
      <c r="K447" s="79">
        <v>9.5599999999996306E-5</v>
      </c>
      <c r="L447" s="71" t="str">
        <f>IF(F447="","",IFERROR(COUNTIFS(tbLancamentos[Equipamento],F447,tbLancamentos[Momento da falha],"&gt;"&amp;0,tbLancamentos[Momento do retorno],""),0))</f>
        <v/>
      </c>
    </row>
    <row r="448" spans="2:12" ht="20.100000000000001" customHeight="1" x14ac:dyDescent="0.25">
      <c r="B448" s="87">
        <v>442</v>
      </c>
      <c r="C448" s="88"/>
      <c r="D448" s="74"/>
      <c r="E448" s="74"/>
      <c r="F448" s="84" t="str">
        <f t="shared" si="6"/>
        <v/>
      </c>
      <c r="G448" s="89" t="str">
        <f>IF(F448="","",VLOOKUP($C448,CadSet!$C$7:$E$26,2,FALSE))</f>
        <v/>
      </c>
      <c r="H448" s="90" t="str">
        <f>IF(G448="","",VLOOKUP($C448,CadSet!$C$7:$E$26,3,FALSE))</f>
        <v/>
      </c>
      <c r="I448" s="91" t="str">
        <f>IF(F448="","",COUNTIFS(tbLancamentos[Equipamento],F448,tbLancamentos[Momento da falha],"&gt;="&amp;Res!$C$9,tbLancamentos[Momento da falha],"&lt;"&amp;Res!$O$9)+K448)</f>
        <v/>
      </c>
      <c r="J448" s="83" t="str">
        <f>IF(F448="","",SUMIFS(tbLancamentos[Tempo indisponível],tbLancamentos[Equipamento],F448,tbLancamentos[Momento da falha],"&gt;="&amp;Res!$C$9,tbLancamentos[Momento da falha],"&lt;"&amp;Res!$O$9)+K448)</f>
        <v/>
      </c>
      <c r="K448" s="79">
        <v>9.5589999999996298E-5</v>
      </c>
      <c r="L448" s="71" t="str">
        <f>IF(F448="","",IFERROR(COUNTIFS(tbLancamentos[Equipamento],F448,tbLancamentos[Momento da falha],"&gt;"&amp;0,tbLancamentos[Momento do retorno],""),0))</f>
        <v/>
      </c>
    </row>
    <row r="449" spans="2:12" ht="20.100000000000001" customHeight="1" x14ac:dyDescent="0.25">
      <c r="B449" s="87">
        <v>443</v>
      </c>
      <c r="C449" s="88"/>
      <c r="D449" s="74"/>
      <c r="E449" s="74"/>
      <c r="F449" s="84" t="str">
        <f t="shared" si="6"/>
        <v/>
      </c>
      <c r="G449" s="89" t="str">
        <f>IF(F449="","",VLOOKUP($C449,CadSet!$C$7:$E$26,2,FALSE))</f>
        <v/>
      </c>
      <c r="H449" s="90" t="str">
        <f>IF(G449="","",VLOOKUP($C449,CadSet!$C$7:$E$26,3,FALSE))</f>
        <v/>
      </c>
      <c r="I449" s="91" t="str">
        <f>IF(F449="","",COUNTIFS(tbLancamentos[Equipamento],F449,tbLancamentos[Momento da falha],"&gt;="&amp;Res!$C$9,tbLancamentos[Momento da falha],"&lt;"&amp;Res!$O$9)+K449)</f>
        <v/>
      </c>
      <c r="J449" s="83" t="str">
        <f>IF(F449="","",SUMIFS(tbLancamentos[Tempo indisponível],tbLancamentos[Equipamento],F449,tbLancamentos[Momento da falha],"&gt;="&amp;Res!$C$9,tbLancamentos[Momento da falha],"&lt;"&amp;Res!$O$9)+K449)</f>
        <v/>
      </c>
      <c r="K449" s="79">
        <v>9.5579999999996303E-5</v>
      </c>
      <c r="L449" s="71" t="str">
        <f>IF(F449="","",IFERROR(COUNTIFS(tbLancamentos[Equipamento],F449,tbLancamentos[Momento da falha],"&gt;"&amp;0,tbLancamentos[Momento do retorno],""),0))</f>
        <v/>
      </c>
    </row>
    <row r="450" spans="2:12" ht="20.100000000000001" customHeight="1" x14ac:dyDescent="0.25">
      <c r="B450" s="87">
        <v>444</v>
      </c>
      <c r="C450" s="88"/>
      <c r="D450" s="74"/>
      <c r="E450" s="74"/>
      <c r="F450" s="84" t="str">
        <f t="shared" si="6"/>
        <v/>
      </c>
      <c r="G450" s="89" t="str">
        <f>IF(F450="","",VLOOKUP($C450,CadSet!$C$7:$E$26,2,FALSE))</f>
        <v/>
      </c>
      <c r="H450" s="90" t="str">
        <f>IF(G450="","",VLOOKUP($C450,CadSet!$C$7:$E$26,3,FALSE))</f>
        <v/>
      </c>
      <c r="I450" s="91" t="str">
        <f>IF(F450="","",COUNTIFS(tbLancamentos[Equipamento],F450,tbLancamentos[Momento da falha],"&gt;="&amp;Res!$C$9,tbLancamentos[Momento da falha],"&lt;"&amp;Res!$O$9)+K450)</f>
        <v/>
      </c>
      <c r="J450" s="83" t="str">
        <f>IF(F450="","",SUMIFS(tbLancamentos[Tempo indisponível],tbLancamentos[Equipamento],F450,tbLancamentos[Momento da falha],"&gt;="&amp;Res!$C$9,tbLancamentos[Momento da falha],"&lt;"&amp;Res!$O$9)+K450)</f>
        <v/>
      </c>
      <c r="K450" s="79">
        <v>9.5569999999996295E-5</v>
      </c>
      <c r="L450" s="71" t="str">
        <f>IF(F450="","",IFERROR(COUNTIFS(tbLancamentos[Equipamento],F450,tbLancamentos[Momento da falha],"&gt;"&amp;0,tbLancamentos[Momento do retorno],""),0))</f>
        <v/>
      </c>
    </row>
    <row r="451" spans="2:12" ht="20.100000000000001" customHeight="1" x14ac:dyDescent="0.25">
      <c r="B451" s="87">
        <v>445</v>
      </c>
      <c r="C451" s="88"/>
      <c r="D451" s="74"/>
      <c r="E451" s="74"/>
      <c r="F451" s="84" t="str">
        <f t="shared" si="6"/>
        <v/>
      </c>
      <c r="G451" s="89" t="str">
        <f>IF(F451="","",VLOOKUP($C451,CadSet!$C$7:$E$26,2,FALSE))</f>
        <v/>
      </c>
      <c r="H451" s="90" t="str">
        <f>IF(G451="","",VLOOKUP($C451,CadSet!$C$7:$E$26,3,FALSE))</f>
        <v/>
      </c>
      <c r="I451" s="91" t="str">
        <f>IF(F451="","",COUNTIFS(tbLancamentos[Equipamento],F451,tbLancamentos[Momento da falha],"&gt;="&amp;Res!$C$9,tbLancamentos[Momento da falha],"&lt;"&amp;Res!$O$9)+K451)</f>
        <v/>
      </c>
      <c r="J451" s="83" t="str">
        <f>IF(F451="","",SUMIFS(tbLancamentos[Tempo indisponível],tbLancamentos[Equipamento],F451,tbLancamentos[Momento da falha],"&gt;="&amp;Res!$C$9,tbLancamentos[Momento da falha],"&lt;"&amp;Res!$O$9)+K451)</f>
        <v/>
      </c>
      <c r="K451" s="79">
        <v>9.55599999999963E-5</v>
      </c>
      <c r="L451" s="71" t="str">
        <f>IF(F451="","",IFERROR(COUNTIFS(tbLancamentos[Equipamento],F451,tbLancamentos[Momento da falha],"&gt;"&amp;0,tbLancamentos[Momento do retorno],""),0))</f>
        <v/>
      </c>
    </row>
    <row r="452" spans="2:12" ht="20.100000000000001" customHeight="1" x14ac:dyDescent="0.25">
      <c r="B452" s="87">
        <v>446</v>
      </c>
      <c r="C452" s="88"/>
      <c r="D452" s="74"/>
      <c r="E452" s="74"/>
      <c r="F452" s="84" t="str">
        <f t="shared" si="6"/>
        <v/>
      </c>
      <c r="G452" s="89" t="str">
        <f>IF(F452="","",VLOOKUP($C452,CadSet!$C$7:$E$26,2,FALSE))</f>
        <v/>
      </c>
      <c r="H452" s="90" t="str">
        <f>IF(G452="","",VLOOKUP($C452,CadSet!$C$7:$E$26,3,FALSE))</f>
        <v/>
      </c>
      <c r="I452" s="91" t="str">
        <f>IF(F452="","",COUNTIFS(tbLancamentos[Equipamento],F452,tbLancamentos[Momento da falha],"&gt;="&amp;Res!$C$9,tbLancamentos[Momento da falha],"&lt;"&amp;Res!$O$9)+K452)</f>
        <v/>
      </c>
      <c r="J452" s="83" t="str">
        <f>IF(F452="","",SUMIFS(tbLancamentos[Tempo indisponível],tbLancamentos[Equipamento],F452,tbLancamentos[Momento da falha],"&gt;="&amp;Res!$C$9,tbLancamentos[Momento da falha],"&lt;"&amp;Res!$O$9)+K452)</f>
        <v/>
      </c>
      <c r="K452" s="79">
        <v>9.5549999999996305E-5</v>
      </c>
      <c r="L452" s="71" t="str">
        <f>IF(F452="","",IFERROR(COUNTIFS(tbLancamentos[Equipamento],F452,tbLancamentos[Momento da falha],"&gt;"&amp;0,tbLancamentos[Momento do retorno],""),0))</f>
        <v/>
      </c>
    </row>
    <row r="453" spans="2:12" ht="20.100000000000001" customHeight="1" x14ac:dyDescent="0.25">
      <c r="B453" s="87">
        <v>447</v>
      </c>
      <c r="C453" s="88"/>
      <c r="D453" s="74"/>
      <c r="E453" s="74"/>
      <c r="F453" s="84" t="str">
        <f t="shared" si="6"/>
        <v/>
      </c>
      <c r="G453" s="89" t="str">
        <f>IF(F453="","",VLOOKUP($C453,CadSet!$C$7:$E$26,2,FALSE))</f>
        <v/>
      </c>
      <c r="H453" s="90" t="str">
        <f>IF(G453="","",VLOOKUP($C453,CadSet!$C$7:$E$26,3,FALSE))</f>
        <v/>
      </c>
      <c r="I453" s="91" t="str">
        <f>IF(F453="","",COUNTIFS(tbLancamentos[Equipamento],F453,tbLancamentos[Momento da falha],"&gt;="&amp;Res!$C$9,tbLancamentos[Momento da falha],"&lt;"&amp;Res!$O$9)+K453)</f>
        <v/>
      </c>
      <c r="J453" s="83" t="str">
        <f>IF(F453="","",SUMIFS(tbLancamentos[Tempo indisponível],tbLancamentos[Equipamento],F453,tbLancamentos[Momento da falha],"&gt;="&amp;Res!$C$9,tbLancamentos[Momento da falha],"&lt;"&amp;Res!$O$9)+K453)</f>
        <v/>
      </c>
      <c r="K453" s="79">
        <v>9.5539999999996297E-5</v>
      </c>
      <c r="L453" s="71" t="str">
        <f>IF(F453="","",IFERROR(COUNTIFS(tbLancamentos[Equipamento],F453,tbLancamentos[Momento da falha],"&gt;"&amp;0,tbLancamentos[Momento do retorno],""),0))</f>
        <v/>
      </c>
    </row>
    <row r="454" spans="2:12" ht="20.100000000000001" customHeight="1" x14ac:dyDescent="0.25">
      <c r="B454" s="87">
        <v>448</v>
      </c>
      <c r="C454" s="88"/>
      <c r="D454" s="74"/>
      <c r="E454" s="74"/>
      <c r="F454" s="84" t="str">
        <f t="shared" si="6"/>
        <v/>
      </c>
      <c r="G454" s="89" t="str">
        <f>IF(F454="","",VLOOKUP($C454,CadSet!$C$7:$E$26,2,FALSE))</f>
        <v/>
      </c>
      <c r="H454" s="90" t="str">
        <f>IF(G454="","",VLOOKUP($C454,CadSet!$C$7:$E$26,3,FALSE))</f>
        <v/>
      </c>
      <c r="I454" s="91" t="str">
        <f>IF(F454="","",COUNTIFS(tbLancamentos[Equipamento],F454,tbLancamentos[Momento da falha],"&gt;="&amp;Res!$C$9,tbLancamentos[Momento da falha],"&lt;"&amp;Res!$O$9)+K454)</f>
        <v/>
      </c>
      <c r="J454" s="83" t="str">
        <f>IF(F454="","",SUMIFS(tbLancamentos[Tempo indisponível],tbLancamentos[Equipamento],F454,tbLancamentos[Momento da falha],"&gt;="&amp;Res!$C$9,tbLancamentos[Momento da falha],"&lt;"&amp;Res!$O$9)+K454)</f>
        <v/>
      </c>
      <c r="K454" s="79">
        <v>9.5529999999996302E-5</v>
      </c>
      <c r="L454" s="71" t="str">
        <f>IF(F454="","",IFERROR(COUNTIFS(tbLancamentos[Equipamento],F454,tbLancamentos[Momento da falha],"&gt;"&amp;0,tbLancamentos[Momento do retorno],""),0))</f>
        <v/>
      </c>
    </row>
    <row r="455" spans="2:12" ht="20.100000000000001" customHeight="1" x14ac:dyDescent="0.25">
      <c r="B455" s="87">
        <v>449</v>
      </c>
      <c r="C455" s="88"/>
      <c r="D455" s="74"/>
      <c r="E455" s="74"/>
      <c r="F455" s="84" t="str">
        <f t="shared" si="6"/>
        <v/>
      </c>
      <c r="G455" s="89" t="str">
        <f>IF(F455="","",VLOOKUP($C455,CadSet!$C$7:$E$26,2,FALSE))</f>
        <v/>
      </c>
      <c r="H455" s="90" t="str">
        <f>IF(G455="","",VLOOKUP($C455,CadSet!$C$7:$E$26,3,FALSE))</f>
        <v/>
      </c>
      <c r="I455" s="91" t="str">
        <f>IF(F455="","",COUNTIFS(tbLancamentos[Equipamento],F455,tbLancamentos[Momento da falha],"&gt;="&amp;Res!$C$9,tbLancamentos[Momento da falha],"&lt;"&amp;Res!$O$9)+K455)</f>
        <v/>
      </c>
      <c r="J455" s="83" t="str">
        <f>IF(F455="","",SUMIFS(tbLancamentos[Tempo indisponível],tbLancamentos[Equipamento],F455,tbLancamentos[Momento da falha],"&gt;="&amp;Res!$C$9,tbLancamentos[Momento da falha],"&lt;"&amp;Res!$O$9)+K455)</f>
        <v/>
      </c>
      <c r="K455" s="79">
        <v>9.5519999999996294E-5</v>
      </c>
      <c r="L455" s="71" t="str">
        <f>IF(F455="","",IFERROR(COUNTIFS(tbLancamentos[Equipamento],F455,tbLancamentos[Momento da falha],"&gt;"&amp;0,tbLancamentos[Momento do retorno],""),0))</f>
        <v/>
      </c>
    </row>
    <row r="456" spans="2:12" ht="20.100000000000001" customHeight="1" x14ac:dyDescent="0.25">
      <c r="B456" s="87">
        <v>450</v>
      </c>
      <c r="C456" s="88"/>
      <c r="D456" s="74"/>
      <c r="E456" s="74"/>
      <c r="F456" s="84" t="str">
        <f t="shared" ref="F456:F506" si="7">IF(AND(C456&lt;&gt;"",D456&lt;&gt;""),C456&amp;" - "&amp;D456,"")</f>
        <v/>
      </c>
      <c r="G456" s="89" t="str">
        <f>IF(F456="","",VLOOKUP($C456,CadSet!$C$7:$E$26,2,FALSE))</f>
        <v/>
      </c>
      <c r="H456" s="90" t="str">
        <f>IF(G456="","",VLOOKUP($C456,CadSet!$C$7:$E$26,3,FALSE))</f>
        <v/>
      </c>
      <c r="I456" s="91" t="str">
        <f>IF(F456="","",COUNTIFS(tbLancamentos[Equipamento],F456,tbLancamentos[Momento da falha],"&gt;="&amp;Res!$C$9,tbLancamentos[Momento da falha],"&lt;"&amp;Res!$O$9)+K456)</f>
        <v/>
      </c>
      <c r="J456" s="83" t="str">
        <f>IF(F456="","",SUMIFS(tbLancamentos[Tempo indisponível],tbLancamentos[Equipamento],F456,tbLancamentos[Momento da falha],"&gt;="&amp;Res!$C$9,tbLancamentos[Momento da falha],"&lt;"&amp;Res!$O$9)+K456)</f>
        <v/>
      </c>
      <c r="K456" s="79">
        <v>9.5509999999996204E-5</v>
      </c>
      <c r="L456" s="71" t="str">
        <f>IF(F456="","",IFERROR(COUNTIFS(tbLancamentos[Equipamento],F456,tbLancamentos[Momento da falha],"&gt;"&amp;0,tbLancamentos[Momento do retorno],""),0))</f>
        <v/>
      </c>
    </row>
    <row r="457" spans="2:12" ht="20.100000000000001" customHeight="1" x14ac:dyDescent="0.25">
      <c r="B457" s="87">
        <v>451</v>
      </c>
      <c r="C457" s="88"/>
      <c r="D457" s="74"/>
      <c r="E457" s="74"/>
      <c r="F457" s="84" t="str">
        <f t="shared" si="7"/>
        <v/>
      </c>
      <c r="G457" s="89" t="str">
        <f>IF(F457="","",VLOOKUP($C457,CadSet!$C$7:$E$26,2,FALSE))</f>
        <v/>
      </c>
      <c r="H457" s="90" t="str">
        <f>IF(G457="","",VLOOKUP($C457,CadSet!$C$7:$E$26,3,FALSE))</f>
        <v/>
      </c>
      <c r="I457" s="91" t="str">
        <f>IF(F457="","",COUNTIFS(tbLancamentos[Equipamento],F457,tbLancamentos[Momento da falha],"&gt;="&amp;Res!$C$9,tbLancamentos[Momento da falha],"&lt;"&amp;Res!$O$9)+K457)</f>
        <v/>
      </c>
      <c r="J457" s="83" t="str">
        <f>IF(F457="","",SUMIFS(tbLancamentos[Tempo indisponível],tbLancamentos[Equipamento],F457,tbLancamentos[Momento da falha],"&gt;="&amp;Res!$C$9,tbLancamentos[Momento da falha],"&lt;"&amp;Res!$O$9)+K457)</f>
        <v/>
      </c>
      <c r="K457" s="79">
        <v>9.5499999999996196E-5</v>
      </c>
      <c r="L457" s="71" t="str">
        <f>IF(F457="","",IFERROR(COUNTIFS(tbLancamentos[Equipamento],F457,tbLancamentos[Momento da falha],"&gt;"&amp;0,tbLancamentos[Momento do retorno],""),0))</f>
        <v/>
      </c>
    </row>
    <row r="458" spans="2:12" ht="20.100000000000001" customHeight="1" x14ac:dyDescent="0.25">
      <c r="B458" s="87">
        <v>452</v>
      </c>
      <c r="C458" s="88"/>
      <c r="D458" s="74"/>
      <c r="E458" s="74"/>
      <c r="F458" s="84" t="str">
        <f t="shared" si="7"/>
        <v/>
      </c>
      <c r="G458" s="89" t="str">
        <f>IF(F458="","",VLOOKUP($C458,CadSet!$C$7:$E$26,2,FALSE))</f>
        <v/>
      </c>
      <c r="H458" s="90" t="str">
        <f>IF(G458="","",VLOOKUP($C458,CadSet!$C$7:$E$26,3,FALSE))</f>
        <v/>
      </c>
      <c r="I458" s="91" t="str">
        <f>IF(F458="","",COUNTIFS(tbLancamentos[Equipamento],F458,tbLancamentos[Momento da falha],"&gt;="&amp;Res!$C$9,tbLancamentos[Momento da falha],"&lt;"&amp;Res!$O$9)+K458)</f>
        <v/>
      </c>
      <c r="J458" s="83" t="str">
        <f>IF(F458="","",SUMIFS(tbLancamentos[Tempo indisponível],tbLancamentos[Equipamento],F458,tbLancamentos[Momento da falha],"&gt;="&amp;Res!$C$9,tbLancamentos[Momento da falha],"&lt;"&amp;Res!$O$9)+K458)</f>
        <v/>
      </c>
      <c r="K458" s="79">
        <v>9.5489999999996201E-5</v>
      </c>
      <c r="L458" s="71" t="str">
        <f>IF(F458="","",IFERROR(COUNTIFS(tbLancamentos[Equipamento],F458,tbLancamentos[Momento da falha],"&gt;"&amp;0,tbLancamentos[Momento do retorno],""),0))</f>
        <v/>
      </c>
    </row>
    <row r="459" spans="2:12" ht="20.100000000000001" customHeight="1" x14ac:dyDescent="0.25">
      <c r="B459" s="87">
        <v>453</v>
      </c>
      <c r="C459" s="88"/>
      <c r="D459" s="74"/>
      <c r="E459" s="74"/>
      <c r="F459" s="84" t="str">
        <f t="shared" si="7"/>
        <v/>
      </c>
      <c r="G459" s="89" t="str">
        <f>IF(F459="","",VLOOKUP($C459,CadSet!$C$7:$E$26,2,FALSE))</f>
        <v/>
      </c>
      <c r="H459" s="90" t="str">
        <f>IF(G459="","",VLOOKUP($C459,CadSet!$C$7:$E$26,3,FALSE))</f>
        <v/>
      </c>
      <c r="I459" s="91" t="str">
        <f>IF(F459="","",COUNTIFS(tbLancamentos[Equipamento],F459,tbLancamentos[Momento da falha],"&gt;="&amp;Res!$C$9,tbLancamentos[Momento da falha],"&lt;"&amp;Res!$O$9)+K459)</f>
        <v/>
      </c>
      <c r="J459" s="83" t="str">
        <f>IF(F459="","",SUMIFS(tbLancamentos[Tempo indisponível],tbLancamentos[Equipamento],F459,tbLancamentos[Momento da falha],"&gt;="&amp;Res!$C$9,tbLancamentos[Momento da falha],"&lt;"&amp;Res!$O$9)+K459)</f>
        <v/>
      </c>
      <c r="K459" s="79">
        <v>9.5479999999996206E-5</v>
      </c>
      <c r="L459" s="71" t="str">
        <f>IF(F459="","",IFERROR(COUNTIFS(tbLancamentos[Equipamento],F459,tbLancamentos[Momento da falha],"&gt;"&amp;0,tbLancamentos[Momento do retorno],""),0))</f>
        <v/>
      </c>
    </row>
    <row r="460" spans="2:12" ht="20.100000000000001" customHeight="1" x14ac:dyDescent="0.25">
      <c r="B460" s="87">
        <v>454</v>
      </c>
      <c r="C460" s="88"/>
      <c r="D460" s="74"/>
      <c r="E460" s="74"/>
      <c r="F460" s="84" t="str">
        <f t="shared" si="7"/>
        <v/>
      </c>
      <c r="G460" s="89" t="str">
        <f>IF(F460="","",VLOOKUP($C460,CadSet!$C$7:$E$26,2,FALSE))</f>
        <v/>
      </c>
      <c r="H460" s="90" t="str">
        <f>IF(G460="","",VLOOKUP($C460,CadSet!$C$7:$E$26,3,FALSE))</f>
        <v/>
      </c>
      <c r="I460" s="91" t="str">
        <f>IF(F460="","",COUNTIFS(tbLancamentos[Equipamento],F460,tbLancamentos[Momento da falha],"&gt;="&amp;Res!$C$9,tbLancamentos[Momento da falha],"&lt;"&amp;Res!$O$9)+K460)</f>
        <v/>
      </c>
      <c r="J460" s="83" t="str">
        <f>IF(F460="","",SUMIFS(tbLancamentos[Tempo indisponível],tbLancamentos[Equipamento],F460,tbLancamentos[Momento da falha],"&gt;="&amp;Res!$C$9,tbLancamentos[Momento da falha],"&lt;"&amp;Res!$O$9)+K460)</f>
        <v/>
      </c>
      <c r="K460" s="79">
        <v>9.5469999999996198E-5</v>
      </c>
      <c r="L460" s="71" t="str">
        <f>IF(F460="","",IFERROR(COUNTIFS(tbLancamentos[Equipamento],F460,tbLancamentos[Momento da falha],"&gt;"&amp;0,tbLancamentos[Momento do retorno],""),0))</f>
        <v/>
      </c>
    </row>
    <row r="461" spans="2:12" ht="20.100000000000001" customHeight="1" x14ac:dyDescent="0.25">
      <c r="B461" s="87">
        <v>455</v>
      </c>
      <c r="C461" s="88"/>
      <c r="D461" s="74"/>
      <c r="E461" s="74"/>
      <c r="F461" s="84" t="str">
        <f t="shared" si="7"/>
        <v/>
      </c>
      <c r="G461" s="89" t="str">
        <f>IF(F461="","",VLOOKUP($C461,CadSet!$C$7:$E$26,2,FALSE))</f>
        <v/>
      </c>
      <c r="H461" s="90" t="str">
        <f>IF(G461="","",VLOOKUP($C461,CadSet!$C$7:$E$26,3,FALSE))</f>
        <v/>
      </c>
      <c r="I461" s="91" t="str">
        <f>IF(F461="","",COUNTIFS(tbLancamentos[Equipamento],F461,tbLancamentos[Momento da falha],"&gt;="&amp;Res!$C$9,tbLancamentos[Momento da falha],"&lt;"&amp;Res!$O$9)+K461)</f>
        <v/>
      </c>
      <c r="J461" s="83" t="str">
        <f>IF(F461="","",SUMIFS(tbLancamentos[Tempo indisponível],tbLancamentos[Equipamento],F461,tbLancamentos[Momento da falha],"&gt;="&amp;Res!$C$9,tbLancamentos[Momento da falha],"&lt;"&amp;Res!$O$9)+K461)</f>
        <v/>
      </c>
      <c r="K461" s="79">
        <v>9.5459999999996203E-5</v>
      </c>
      <c r="L461" s="71" t="str">
        <f>IF(F461="","",IFERROR(COUNTIFS(tbLancamentos[Equipamento],F461,tbLancamentos[Momento da falha],"&gt;"&amp;0,tbLancamentos[Momento do retorno],""),0))</f>
        <v/>
      </c>
    </row>
    <row r="462" spans="2:12" ht="20.100000000000001" customHeight="1" x14ac:dyDescent="0.25">
      <c r="B462" s="87">
        <v>456</v>
      </c>
      <c r="C462" s="88"/>
      <c r="D462" s="74"/>
      <c r="E462" s="74"/>
      <c r="F462" s="84" t="str">
        <f t="shared" si="7"/>
        <v/>
      </c>
      <c r="G462" s="89" t="str">
        <f>IF(F462="","",VLOOKUP($C462,CadSet!$C$7:$E$26,2,FALSE))</f>
        <v/>
      </c>
      <c r="H462" s="90" t="str">
        <f>IF(G462="","",VLOOKUP($C462,CadSet!$C$7:$E$26,3,FALSE))</f>
        <v/>
      </c>
      <c r="I462" s="91" t="str">
        <f>IF(F462="","",COUNTIFS(tbLancamentos[Equipamento],F462,tbLancamentos[Momento da falha],"&gt;="&amp;Res!$C$9,tbLancamentos[Momento da falha],"&lt;"&amp;Res!$O$9)+K462)</f>
        <v/>
      </c>
      <c r="J462" s="83" t="str">
        <f>IF(F462="","",SUMIFS(tbLancamentos[Tempo indisponível],tbLancamentos[Equipamento],F462,tbLancamentos[Momento da falha],"&gt;="&amp;Res!$C$9,tbLancamentos[Momento da falha],"&lt;"&amp;Res!$O$9)+K462)</f>
        <v/>
      </c>
      <c r="K462" s="79">
        <v>9.5449999999996194E-5</v>
      </c>
      <c r="L462" s="71" t="str">
        <f>IF(F462="","",IFERROR(COUNTIFS(tbLancamentos[Equipamento],F462,tbLancamentos[Momento da falha],"&gt;"&amp;0,tbLancamentos[Momento do retorno],""),0))</f>
        <v/>
      </c>
    </row>
    <row r="463" spans="2:12" ht="20.100000000000001" customHeight="1" x14ac:dyDescent="0.25">
      <c r="B463" s="87">
        <v>457</v>
      </c>
      <c r="C463" s="88"/>
      <c r="D463" s="74"/>
      <c r="E463" s="74"/>
      <c r="F463" s="84" t="str">
        <f t="shared" si="7"/>
        <v/>
      </c>
      <c r="G463" s="89" t="str">
        <f>IF(F463="","",VLOOKUP($C463,CadSet!$C$7:$E$26,2,FALSE))</f>
        <v/>
      </c>
      <c r="H463" s="90" t="str">
        <f>IF(G463="","",VLOOKUP($C463,CadSet!$C$7:$E$26,3,FALSE))</f>
        <v/>
      </c>
      <c r="I463" s="91" t="str">
        <f>IF(F463="","",COUNTIFS(tbLancamentos[Equipamento],F463,tbLancamentos[Momento da falha],"&gt;="&amp;Res!$C$9,tbLancamentos[Momento da falha],"&lt;"&amp;Res!$O$9)+K463)</f>
        <v/>
      </c>
      <c r="J463" s="83" t="str">
        <f>IF(F463="","",SUMIFS(tbLancamentos[Tempo indisponível],tbLancamentos[Equipamento],F463,tbLancamentos[Momento da falha],"&gt;="&amp;Res!$C$9,tbLancamentos[Momento da falha],"&lt;"&amp;Res!$O$9)+K463)</f>
        <v/>
      </c>
      <c r="K463" s="79">
        <v>9.54399999999962E-5</v>
      </c>
      <c r="L463" s="71" t="str">
        <f>IF(F463="","",IFERROR(COUNTIFS(tbLancamentos[Equipamento],F463,tbLancamentos[Momento da falha],"&gt;"&amp;0,tbLancamentos[Momento do retorno],""),0))</f>
        <v/>
      </c>
    </row>
    <row r="464" spans="2:12" ht="20.100000000000001" customHeight="1" x14ac:dyDescent="0.25">
      <c r="B464" s="87">
        <v>458</v>
      </c>
      <c r="C464" s="88"/>
      <c r="D464" s="74"/>
      <c r="E464" s="74"/>
      <c r="F464" s="84" t="str">
        <f t="shared" si="7"/>
        <v/>
      </c>
      <c r="G464" s="89" t="str">
        <f>IF(F464="","",VLOOKUP($C464,CadSet!$C$7:$E$26,2,FALSE))</f>
        <v/>
      </c>
      <c r="H464" s="90" t="str">
        <f>IF(G464="","",VLOOKUP($C464,CadSet!$C$7:$E$26,3,FALSE))</f>
        <v/>
      </c>
      <c r="I464" s="91" t="str">
        <f>IF(F464="","",COUNTIFS(tbLancamentos[Equipamento],F464,tbLancamentos[Momento da falha],"&gt;="&amp;Res!$C$9,tbLancamentos[Momento da falha],"&lt;"&amp;Res!$O$9)+K464)</f>
        <v/>
      </c>
      <c r="J464" s="83" t="str">
        <f>IF(F464="","",SUMIFS(tbLancamentos[Tempo indisponível],tbLancamentos[Equipamento],F464,tbLancamentos[Momento da falha],"&gt;="&amp;Res!$C$9,tbLancamentos[Momento da falha],"&lt;"&amp;Res!$O$9)+K464)</f>
        <v/>
      </c>
      <c r="K464" s="79">
        <v>9.5429999999996205E-5</v>
      </c>
      <c r="L464" s="71" t="str">
        <f>IF(F464="","",IFERROR(COUNTIFS(tbLancamentos[Equipamento],F464,tbLancamentos[Momento da falha],"&gt;"&amp;0,tbLancamentos[Momento do retorno],""),0))</f>
        <v/>
      </c>
    </row>
    <row r="465" spans="2:12" ht="20.100000000000001" customHeight="1" x14ac:dyDescent="0.25">
      <c r="B465" s="87">
        <v>459</v>
      </c>
      <c r="C465" s="88"/>
      <c r="D465" s="74"/>
      <c r="E465" s="74"/>
      <c r="F465" s="84" t="str">
        <f t="shared" si="7"/>
        <v/>
      </c>
      <c r="G465" s="89" t="str">
        <f>IF(F465="","",VLOOKUP($C465,CadSet!$C$7:$E$26,2,FALSE))</f>
        <v/>
      </c>
      <c r="H465" s="90" t="str">
        <f>IF(G465="","",VLOOKUP($C465,CadSet!$C$7:$E$26,3,FALSE))</f>
        <v/>
      </c>
      <c r="I465" s="91" t="str">
        <f>IF(F465="","",COUNTIFS(tbLancamentos[Equipamento],F465,tbLancamentos[Momento da falha],"&gt;="&amp;Res!$C$9,tbLancamentos[Momento da falha],"&lt;"&amp;Res!$O$9)+K465)</f>
        <v/>
      </c>
      <c r="J465" s="83" t="str">
        <f>IF(F465="","",SUMIFS(tbLancamentos[Tempo indisponível],tbLancamentos[Equipamento],F465,tbLancamentos[Momento da falha],"&gt;="&amp;Res!$C$9,tbLancamentos[Momento da falha],"&lt;"&amp;Res!$O$9)+K465)</f>
        <v/>
      </c>
      <c r="K465" s="79">
        <v>9.5419999999996196E-5</v>
      </c>
      <c r="L465" s="71" t="str">
        <f>IF(F465="","",IFERROR(COUNTIFS(tbLancamentos[Equipamento],F465,tbLancamentos[Momento da falha],"&gt;"&amp;0,tbLancamentos[Momento do retorno],""),0))</f>
        <v/>
      </c>
    </row>
    <row r="466" spans="2:12" ht="20.100000000000001" customHeight="1" x14ac:dyDescent="0.25">
      <c r="B466" s="87">
        <v>460</v>
      </c>
      <c r="C466" s="88"/>
      <c r="D466" s="74"/>
      <c r="E466" s="74"/>
      <c r="F466" s="84" t="str">
        <f t="shared" si="7"/>
        <v/>
      </c>
      <c r="G466" s="89" t="str">
        <f>IF(F466="","",VLOOKUP($C466,CadSet!$C$7:$E$26,2,FALSE))</f>
        <v/>
      </c>
      <c r="H466" s="90" t="str">
        <f>IF(G466="","",VLOOKUP($C466,CadSet!$C$7:$E$26,3,FALSE))</f>
        <v/>
      </c>
      <c r="I466" s="91" t="str">
        <f>IF(F466="","",COUNTIFS(tbLancamentos[Equipamento],F466,tbLancamentos[Momento da falha],"&gt;="&amp;Res!$C$9,tbLancamentos[Momento da falha],"&lt;"&amp;Res!$O$9)+K466)</f>
        <v/>
      </c>
      <c r="J466" s="83" t="str">
        <f>IF(F466="","",SUMIFS(tbLancamentos[Tempo indisponível],tbLancamentos[Equipamento],F466,tbLancamentos[Momento da falha],"&gt;="&amp;Res!$C$9,tbLancamentos[Momento da falha],"&lt;"&amp;Res!$O$9)+K466)</f>
        <v/>
      </c>
      <c r="K466" s="79">
        <v>9.5409999999996202E-5</v>
      </c>
      <c r="L466" s="71" t="str">
        <f>IF(F466="","",IFERROR(COUNTIFS(tbLancamentos[Equipamento],F466,tbLancamentos[Momento da falha],"&gt;"&amp;0,tbLancamentos[Momento do retorno],""),0))</f>
        <v/>
      </c>
    </row>
    <row r="467" spans="2:12" ht="20.100000000000001" customHeight="1" x14ac:dyDescent="0.25">
      <c r="B467" s="87">
        <v>461</v>
      </c>
      <c r="C467" s="88"/>
      <c r="D467" s="74"/>
      <c r="E467" s="74"/>
      <c r="F467" s="84" t="str">
        <f t="shared" si="7"/>
        <v/>
      </c>
      <c r="G467" s="89" t="str">
        <f>IF(F467="","",VLOOKUP($C467,CadSet!$C$7:$E$26,2,FALSE))</f>
        <v/>
      </c>
      <c r="H467" s="90" t="str">
        <f>IF(G467="","",VLOOKUP($C467,CadSet!$C$7:$E$26,3,FALSE))</f>
        <v/>
      </c>
      <c r="I467" s="91" t="str">
        <f>IF(F467="","",COUNTIFS(tbLancamentos[Equipamento],F467,tbLancamentos[Momento da falha],"&gt;="&amp;Res!$C$9,tbLancamentos[Momento da falha],"&lt;"&amp;Res!$O$9)+K467)</f>
        <v/>
      </c>
      <c r="J467" s="83" t="str">
        <f>IF(F467="","",SUMIFS(tbLancamentos[Tempo indisponível],tbLancamentos[Equipamento],F467,tbLancamentos[Momento da falha],"&gt;="&amp;Res!$C$9,tbLancamentos[Momento da falha],"&lt;"&amp;Res!$O$9)+K467)</f>
        <v/>
      </c>
      <c r="K467" s="79">
        <v>9.5399999999996207E-5</v>
      </c>
      <c r="L467" s="71" t="str">
        <f>IF(F467="","",IFERROR(COUNTIFS(tbLancamentos[Equipamento],F467,tbLancamentos[Momento da falha],"&gt;"&amp;0,tbLancamentos[Momento do retorno],""),0))</f>
        <v/>
      </c>
    </row>
    <row r="468" spans="2:12" ht="20.100000000000001" customHeight="1" x14ac:dyDescent="0.25">
      <c r="B468" s="87">
        <v>462</v>
      </c>
      <c r="C468" s="88"/>
      <c r="D468" s="74"/>
      <c r="E468" s="74"/>
      <c r="F468" s="84" t="str">
        <f t="shared" si="7"/>
        <v/>
      </c>
      <c r="G468" s="89" t="str">
        <f>IF(F468="","",VLOOKUP($C468,CadSet!$C$7:$E$26,2,FALSE))</f>
        <v/>
      </c>
      <c r="H468" s="90" t="str">
        <f>IF(G468="","",VLOOKUP($C468,CadSet!$C$7:$E$26,3,FALSE))</f>
        <v/>
      </c>
      <c r="I468" s="91" t="str">
        <f>IF(F468="","",COUNTIFS(tbLancamentos[Equipamento],F468,tbLancamentos[Momento da falha],"&gt;="&amp;Res!$C$9,tbLancamentos[Momento da falha],"&lt;"&amp;Res!$O$9)+K468)</f>
        <v/>
      </c>
      <c r="J468" s="83" t="str">
        <f>IF(F468="","",SUMIFS(tbLancamentos[Tempo indisponível],tbLancamentos[Equipamento],F468,tbLancamentos[Momento da falha],"&gt;="&amp;Res!$C$9,tbLancamentos[Momento da falha],"&lt;"&amp;Res!$O$9)+K468)</f>
        <v/>
      </c>
      <c r="K468" s="79">
        <v>9.5389999999996103E-5</v>
      </c>
      <c r="L468" s="71" t="str">
        <f>IF(F468="","",IFERROR(COUNTIFS(tbLancamentos[Equipamento],F468,tbLancamentos[Momento da falha],"&gt;"&amp;0,tbLancamentos[Momento do retorno],""),0))</f>
        <v/>
      </c>
    </row>
    <row r="469" spans="2:12" ht="20.100000000000001" customHeight="1" x14ac:dyDescent="0.25">
      <c r="B469" s="87">
        <v>463</v>
      </c>
      <c r="C469" s="88"/>
      <c r="D469" s="74"/>
      <c r="E469" s="74"/>
      <c r="F469" s="84" t="str">
        <f t="shared" si="7"/>
        <v/>
      </c>
      <c r="G469" s="89" t="str">
        <f>IF(F469="","",VLOOKUP($C469,CadSet!$C$7:$E$26,2,FALSE))</f>
        <v/>
      </c>
      <c r="H469" s="90" t="str">
        <f>IF(G469="","",VLOOKUP($C469,CadSet!$C$7:$E$26,3,FALSE))</f>
        <v/>
      </c>
      <c r="I469" s="91" t="str">
        <f>IF(F469="","",COUNTIFS(tbLancamentos[Equipamento],F469,tbLancamentos[Momento da falha],"&gt;="&amp;Res!$C$9,tbLancamentos[Momento da falha],"&lt;"&amp;Res!$O$9)+K469)</f>
        <v/>
      </c>
      <c r="J469" s="83" t="str">
        <f>IF(F469="","",SUMIFS(tbLancamentos[Tempo indisponível],tbLancamentos[Equipamento],F469,tbLancamentos[Momento da falha],"&gt;="&amp;Res!$C$9,tbLancamentos[Momento da falha],"&lt;"&amp;Res!$O$9)+K469)</f>
        <v/>
      </c>
      <c r="K469" s="79">
        <v>9.5379999999996095E-5</v>
      </c>
      <c r="L469" s="71" t="str">
        <f>IF(F469="","",IFERROR(COUNTIFS(tbLancamentos[Equipamento],F469,tbLancamentos[Momento da falha],"&gt;"&amp;0,tbLancamentos[Momento do retorno],""),0))</f>
        <v/>
      </c>
    </row>
    <row r="470" spans="2:12" ht="20.100000000000001" customHeight="1" x14ac:dyDescent="0.25">
      <c r="B470" s="87">
        <v>464</v>
      </c>
      <c r="C470" s="88"/>
      <c r="D470" s="74"/>
      <c r="E470" s="74"/>
      <c r="F470" s="84" t="str">
        <f t="shared" si="7"/>
        <v/>
      </c>
      <c r="G470" s="89" t="str">
        <f>IF(F470="","",VLOOKUP($C470,CadSet!$C$7:$E$26,2,FALSE))</f>
        <v/>
      </c>
      <c r="H470" s="90" t="str">
        <f>IF(G470="","",VLOOKUP($C470,CadSet!$C$7:$E$26,3,FALSE))</f>
        <v/>
      </c>
      <c r="I470" s="91" t="str">
        <f>IF(F470="","",COUNTIFS(tbLancamentos[Equipamento],F470,tbLancamentos[Momento da falha],"&gt;="&amp;Res!$C$9,tbLancamentos[Momento da falha],"&lt;"&amp;Res!$O$9)+K470)</f>
        <v/>
      </c>
      <c r="J470" s="83" t="str">
        <f>IF(F470="","",SUMIFS(tbLancamentos[Tempo indisponível],tbLancamentos[Equipamento],F470,tbLancamentos[Momento da falha],"&gt;="&amp;Res!$C$9,tbLancamentos[Momento da falha],"&lt;"&amp;Res!$O$9)+K470)</f>
        <v/>
      </c>
      <c r="K470" s="79">
        <v>9.53699999999961E-5</v>
      </c>
      <c r="L470" s="71" t="str">
        <f>IF(F470="","",IFERROR(COUNTIFS(tbLancamentos[Equipamento],F470,tbLancamentos[Momento da falha],"&gt;"&amp;0,tbLancamentos[Momento do retorno],""),0))</f>
        <v/>
      </c>
    </row>
    <row r="471" spans="2:12" ht="20.100000000000001" customHeight="1" x14ac:dyDescent="0.25">
      <c r="B471" s="87">
        <v>465</v>
      </c>
      <c r="C471" s="88"/>
      <c r="D471" s="74"/>
      <c r="E471" s="74"/>
      <c r="F471" s="84" t="str">
        <f t="shared" si="7"/>
        <v/>
      </c>
      <c r="G471" s="89" t="str">
        <f>IF(F471="","",VLOOKUP($C471,CadSet!$C$7:$E$26,2,FALSE))</f>
        <v/>
      </c>
      <c r="H471" s="90" t="str">
        <f>IF(G471="","",VLOOKUP($C471,CadSet!$C$7:$E$26,3,FALSE))</f>
        <v/>
      </c>
      <c r="I471" s="91" t="str">
        <f>IF(F471="","",COUNTIFS(tbLancamentos[Equipamento],F471,tbLancamentos[Momento da falha],"&gt;="&amp;Res!$C$9,tbLancamentos[Momento da falha],"&lt;"&amp;Res!$O$9)+K471)</f>
        <v/>
      </c>
      <c r="J471" s="83" t="str">
        <f>IF(F471="","",SUMIFS(tbLancamentos[Tempo indisponível],tbLancamentos[Equipamento],F471,tbLancamentos[Momento da falha],"&gt;="&amp;Res!$C$9,tbLancamentos[Momento da falha],"&lt;"&amp;Res!$O$9)+K471)</f>
        <v/>
      </c>
      <c r="K471" s="79">
        <v>9.5359999999996105E-5</v>
      </c>
      <c r="L471" s="71" t="str">
        <f>IF(F471="","",IFERROR(COUNTIFS(tbLancamentos[Equipamento],F471,tbLancamentos[Momento da falha],"&gt;"&amp;0,tbLancamentos[Momento do retorno],""),0))</f>
        <v/>
      </c>
    </row>
    <row r="472" spans="2:12" ht="20.100000000000001" customHeight="1" x14ac:dyDescent="0.25">
      <c r="B472" s="87">
        <v>466</v>
      </c>
      <c r="C472" s="88"/>
      <c r="D472" s="74"/>
      <c r="E472" s="74"/>
      <c r="F472" s="84" t="str">
        <f t="shared" si="7"/>
        <v/>
      </c>
      <c r="G472" s="89" t="str">
        <f>IF(F472="","",VLOOKUP($C472,CadSet!$C$7:$E$26,2,FALSE))</f>
        <v/>
      </c>
      <c r="H472" s="90" t="str">
        <f>IF(G472="","",VLOOKUP($C472,CadSet!$C$7:$E$26,3,FALSE))</f>
        <v/>
      </c>
      <c r="I472" s="91" t="str">
        <f>IF(F472="","",COUNTIFS(tbLancamentos[Equipamento],F472,tbLancamentos[Momento da falha],"&gt;="&amp;Res!$C$9,tbLancamentos[Momento da falha],"&lt;"&amp;Res!$O$9)+K472)</f>
        <v/>
      </c>
      <c r="J472" s="83" t="str">
        <f>IF(F472="","",SUMIFS(tbLancamentos[Tempo indisponível],tbLancamentos[Equipamento],F472,tbLancamentos[Momento da falha],"&gt;="&amp;Res!$C$9,tbLancamentos[Momento da falha],"&lt;"&amp;Res!$O$9)+K472)</f>
        <v/>
      </c>
      <c r="K472" s="79">
        <v>9.5349999999996097E-5</v>
      </c>
      <c r="L472" s="71" t="str">
        <f>IF(F472="","",IFERROR(COUNTIFS(tbLancamentos[Equipamento],F472,tbLancamentos[Momento da falha],"&gt;"&amp;0,tbLancamentos[Momento do retorno],""),0))</f>
        <v/>
      </c>
    </row>
    <row r="473" spans="2:12" ht="20.100000000000001" customHeight="1" x14ac:dyDescent="0.25">
      <c r="B473" s="87">
        <v>467</v>
      </c>
      <c r="C473" s="88"/>
      <c r="D473" s="74"/>
      <c r="E473" s="74"/>
      <c r="F473" s="84" t="str">
        <f t="shared" si="7"/>
        <v/>
      </c>
      <c r="G473" s="89" t="str">
        <f>IF(F473="","",VLOOKUP($C473,CadSet!$C$7:$E$26,2,FALSE))</f>
        <v/>
      </c>
      <c r="H473" s="90" t="str">
        <f>IF(G473="","",VLOOKUP($C473,CadSet!$C$7:$E$26,3,FALSE))</f>
        <v/>
      </c>
      <c r="I473" s="91" t="str">
        <f>IF(F473="","",COUNTIFS(tbLancamentos[Equipamento],F473,tbLancamentos[Momento da falha],"&gt;="&amp;Res!$C$9,tbLancamentos[Momento da falha],"&lt;"&amp;Res!$O$9)+K473)</f>
        <v/>
      </c>
      <c r="J473" s="83" t="str">
        <f>IF(F473="","",SUMIFS(tbLancamentos[Tempo indisponível],tbLancamentos[Equipamento],F473,tbLancamentos[Momento da falha],"&gt;="&amp;Res!$C$9,tbLancamentos[Momento da falha],"&lt;"&amp;Res!$O$9)+K473)</f>
        <v/>
      </c>
      <c r="K473" s="79">
        <v>9.5339999999996102E-5</v>
      </c>
      <c r="L473" s="71" t="str">
        <f>IF(F473="","",IFERROR(COUNTIFS(tbLancamentos[Equipamento],F473,tbLancamentos[Momento da falha],"&gt;"&amp;0,tbLancamentos[Momento do retorno],""),0))</f>
        <v/>
      </c>
    </row>
    <row r="474" spans="2:12" ht="20.100000000000001" customHeight="1" x14ac:dyDescent="0.25">
      <c r="B474" s="87">
        <v>468</v>
      </c>
      <c r="C474" s="88"/>
      <c r="D474" s="74"/>
      <c r="E474" s="74"/>
      <c r="F474" s="84" t="str">
        <f t="shared" si="7"/>
        <v/>
      </c>
      <c r="G474" s="89" t="str">
        <f>IF(F474="","",VLOOKUP($C474,CadSet!$C$7:$E$26,2,FALSE))</f>
        <v/>
      </c>
      <c r="H474" s="90" t="str">
        <f>IF(G474="","",VLOOKUP($C474,CadSet!$C$7:$E$26,3,FALSE))</f>
        <v/>
      </c>
      <c r="I474" s="91" t="str">
        <f>IF(F474="","",COUNTIFS(tbLancamentos[Equipamento],F474,tbLancamentos[Momento da falha],"&gt;="&amp;Res!$C$9,tbLancamentos[Momento da falha],"&lt;"&amp;Res!$O$9)+K474)</f>
        <v/>
      </c>
      <c r="J474" s="83" t="str">
        <f>IF(F474="","",SUMIFS(tbLancamentos[Tempo indisponível],tbLancamentos[Equipamento],F474,tbLancamentos[Momento da falha],"&gt;="&amp;Res!$C$9,tbLancamentos[Momento da falha],"&lt;"&amp;Res!$O$9)+K474)</f>
        <v/>
      </c>
      <c r="K474" s="79">
        <v>9.5329999999996094E-5</v>
      </c>
      <c r="L474" s="71" t="str">
        <f>IF(F474="","",IFERROR(COUNTIFS(tbLancamentos[Equipamento],F474,tbLancamentos[Momento da falha],"&gt;"&amp;0,tbLancamentos[Momento do retorno],""),0))</f>
        <v/>
      </c>
    </row>
    <row r="475" spans="2:12" ht="20.100000000000001" customHeight="1" x14ac:dyDescent="0.25">
      <c r="B475" s="87">
        <v>469</v>
      </c>
      <c r="C475" s="88"/>
      <c r="D475" s="74"/>
      <c r="E475" s="74"/>
      <c r="F475" s="84" t="str">
        <f t="shared" si="7"/>
        <v/>
      </c>
      <c r="G475" s="89" t="str">
        <f>IF(F475="","",VLOOKUP($C475,CadSet!$C$7:$E$26,2,FALSE))</f>
        <v/>
      </c>
      <c r="H475" s="90" t="str">
        <f>IF(G475="","",VLOOKUP($C475,CadSet!$C$7:$E$26,3,FALSE))</f>
        <v/>
      </c>
      <c r="I475" s="91" t="str">
        <f>IF(F475="","",COUNTIFS(tbLancamentos[Equipamento],F475,tbLancamentos[Momento da falha],"&gt;="&amp;Res!$C$9,tbLancamentos[Momento da falha],"&lt;"&amp;Res!$O$9)+K475)</f>
        <v/>
      </c>
      <c r="J475" s="83" t="str">
        <f>IF(F475="","",SUMIFS(tbLancamentos[Tempo indisponível],tbLancamentos[Equipamento],F475,tbLancamentos[Momento da falha],"&gt;="&amp;Res!$C$9,tbLancamentos[Momento da falha],"&lt;"&amp;Res!$O$9)+K475)</f>
        <v/>
      </c>
      <c r="K475" s="79">
        <v>9.5319999999996099E-5</v>
      </c>
      <c r="L475" s="71" t="str">
        <f>IF(F475="","",IFERROR(COUNTIFS(tbLancamentos[Equipamento],F475,tbLancamentos[Momento da falha],"&gt;"&amp;0,tbLancamentos[Momento do retorno],""),0))</f>
        <v/>
      </c>
    </row>
    <row r="476" spans="2:12" ht="20.100000000000001" customHeight="1" x14ac:dyDescent="0.25">
      <c r="B476" s="87">
        <v>470</v>
      </c>
      <c r="C476" s="88"/>
      <c r="D476" s="74"/>
      <c r="E476" s="74"/>
      <c r="F476" s="84" t="str">
        <f t="shared" si="7"/>
        <v/>
      </c>
      <c r="G476" s="89" t="str">
        <f>IF(F476="","",VLOOKUP($C476,CadSet!$C$7:$E$26,2,FALSE))</f>
        <v/>
      </c>
      <c r="H476" s="90" t="str">
        <f>IF(G476="","",VLOOKUP($C476,CadSet!$C$7:$E$26,3,FALSE))</f>
        <v/>
      </c>
      <c r="I476" s="91" t="str">
        <f>IF(F476="","",COUNTIFS(tbLancamentos[Equipamento],F476,tbLancamentos[Momento da falha],"&gt;="&amp;Res!$C$9,tbLancamentos[Momento da falha],"&lt;"&amp;Res!$O$9)+K476)</f>
        <v/>
      </c>
      <c r="J476" s="83" t="str">
        <f>IF(F476="","",SUMIFS(tbLancamentos[Tempo indisponível],tbLancamentos[Equipamento],F476,tbLancamentos[Momento da falha],"&gt;="&amp;Res!$C$9,tbLancamentos[Momento da falha],"&lt;"&amp;Res!$O$9)+K476)</f>
        <v/>
      </c>
      <c r="K476" s="79">
        <v>9.5309999999996104E-5</v>
      </c>
      <c r="L476" s="71" t="str">
        <f>IF(F476="","",IFERROR(COUNTIFS(tbLancamentos[Equipamento],F476,tbLancamentos[Momento da falha],"&gt;"&amp;0,tbLancamentos[Momento do retorno],""),0))</f>
        <v/>
      </c>
    </row>
    <row r="477" spans="2:12" ht="20.100000000000001" customHeight="1" x14ac:dyDescent="0.25">
      <c r="B477" s="87">
        <v>471</v>
      </c>
      <c r="C477" s="88"/>
      <c r="D477" s="74"/>
      <c r="E477" s="74"/>
      <c r="F477" s="84" t="str">
        <f t="shared" si="7"/>
        <v/>
      </c>
      <c r="G477" s="89" t="str">
        <f>IF(F477="","",VLOOKUP($C477,CadSet!$C$7:$E$26,2,FALSE))</f>
        <v/>
      </c>
      <c r="H477" s="90" t="str">
        <f>IF(G477="","",VLOOKUP($C477,CadSet!$C$7:$E$26,3,FALSE))</f>
        <v/>
      </c>
      <c r="I477" s="91" t="str">
        <f>IF(F477="","",COUNTIFS(tbLancamentos[Equipamento],F477,tbLancamentos[Momento da falha],"&gt;="&amp;Res!$C$9,tbLancamentos[Momento da falha],"&lt;"&amp;Res!$O$9)+K477)</f>
        <v/>
      </c>
      <c r="J477" s="83" t="str">
        <f>IF(F477="","",SUMIFS(tbLancamentos[Tempo indisponível],tbLancamentos[Equipamento],F477,tbLancamentos[Momento da falha],"&gt;="&amp;Res!$C$9,tbLancamentos[Momento da falha],"&lt;"&amp;Res!$O$9)+K477)</f>
        <v/>
      </c>
      <c r="K477" s="79">
        <v>9.5299999999996096E-5</v>
      </c>
      <c r="L477" s="71" t="str">
        <f>IF(F477="","",IFERROR(COUNTIFS(tbLancamentos[Equipamento],F477,tbLancamentos[Momento da falha],"&gt;"&amp;0,tbLancamentos[Momento do retorno],""),0))</f>
        <v/>
      </c>
    </row>
    <row r="478" spans="2:12" ht="20.100000000000001" customHeight="1" x14ac:dyDescent="0.25">
      <c r="B478" s="87">
        <v>472</v>
      </c>
      <c r="C478" s="88"/>
      <c r="D478" s="74"/>
      <c r="E478" s="74"/>
      <c r="F478" s="84" t="str">
        <f t="shared" si="7"/>
        <v/>
      </c>
      <c r="G478" s="89" t="str">
        <f>IF(F478="","",VLOOKUP($C478,CadSet!$C$7:$E$26,2,FALSE))</f>
        <v/>
      </c>
      <c r="H478" s="90" t="str">
        <f>IF(G478="","",VLOOKUP($C478,CadSet!$C$7:$E$26,3,FALSE))</f>
        <v/>
      </c>
      <c r="I478" s="91" t="str">
        <f>IF(F478="","",COUNTIFS(tbLancamentos[Equipamento],F478,tbLancamentos[Momento da falha],"&gt;="&amp;Res!$C$9,tbLancamentos[Momento da falha],"&lt;"&amp;Res!$O$9)+K478)</f>
        <v/>
      </c>
      <c r="J478" s="83" t="str">
        <f>IF(F478="","",SUMIFS(tbLancamentos[Tempo indisponível],tbLancamentos[Equipamento],F478,tbLancamentos[Momento da falha],"&gt;="&amp;Res!$C$9,tbLancamentos[Momento da falha],"&lt;"&amp;Res!$O$9)+K478)</f>
        <v/>
      </c>
      <c r="K478" s="79">
        <v>9.5289999999996101E-5</v>
      </c>
      <c r="L478" s="71" t="str">
        <f>IF(F478="","",IFERROR(COUNTIFS(tbLancamentos[Equipamento],F478,tbLancamentos[Momento da falha],"&gt;"&amp;0,tbLancamentos[Momento do retorno],""),0))</f>
        <v/>
      </c>
    </row>
    <row r="479" spans="2:12" ht="20.100000000000001" customHeight="1" x14ac:dyDescent="0.25">
      <c r="B479" s="87">
        <v>473</v>
      </c>
      <c r="C479" s="88"/>
      <c r="D479" s="74"/>
      <c r="E479" s="74"/>
      <c r="F479" s="84" t="str">
        <f t="shared" si="7"/>
        <v/>
      </c>
      <c r="G479" s="89" t="str">
        <f>IF(F479="","",VLOOKUP($C479,CadSet!$C$7:$E$26,2,FALSE))</f>
        <v/>
      </c>
      <c r="H479" s="90" t="str">
        <f>IF(G479="","",VLOOKUP($C479,CadSet!$C$7:$E$26,3,FALSE))</f>
        <v/>
      </c>
      <c r="I479" s="91" t="str">
        <f>IF(F479="","",COUNTIFS(tbLancamentos[Equipamento],F479,tbLancamentos[Momento da falha],"&gt;="&amp;Res!$C$9,tbLancamentos[Momento da falha],"&lt;"&amp;Res!$O$9)+K479)</f>
        <v/>
      </c>
      <c r="J479" s="83" t="str">
        <f>IF(F479="","",SUMIFS(tbLancamentos[Tempo indisponível],tbLancamentos[Equipamento],F479,tbLancamentos[Momento da falha],"&gt;="&amp;Res!$C$9,tbLancamentos[Momento da falha],"&lt;"&amp;Res!$O$9)+K479)</f>
        <v/>
      </c>
      <c r="K479" s="79">
        <v>9.5279999999996106E-5</v>
      </c>
      <c r="L479" s="71" t="str">
        <f>IF(F479="","",IFERROR(COUNTIFS(tbLancamentos[Equipamento],F479,tbLancamentos[Momento da falha],"&gt;"&amp;0,tbLancamentos[Momento do retorno],""),0))</f>
        <v/>
      </c>
    </row>
    <row r="480" spans="2:12" ht="20.100000000000001" customHeight="1" x14ac:dyDescent="0.25">
      <c r="B480" s="87">
        <v>474</v>
      </c>
      <c r="C480" s="88"/>
      <c r="D480" s="74"/>
      <c r="E480" s="74"/>
      <c r="F480" s="84" t="str">
        <f t="shared" si="7"/>
        <v/>
      </c>
      <c r="G480" s="89" t="str">
        <f>IF(F480="","",VLOOKUP($C480,CadSet!$C$7:$E$26,2,FALSE))</f>
        <v/>
      </c>
      <c r="H480" s="90" t="str">
        <f>IF(G480="","",VLOOKUP($C480,CadSet!$C$7:$E$26,3,FALSE))</f>
        <v/>
      </c>
      <c r="I480" s="91" t="str">
        <f>IF(F480="","",COUNTIFS(tbLancamentos[Equipamento],F480,tbLancamentos[Momento da falha],"&gt;="&amp;Res!$C$9,tbLancamentos[Momento da falha],"&lt;"&amp;Res!$O$9)+K480)</f>
        <v/>
      </c>
      <c r="J480" s="83" t="str">
        <f>IF(F480="","",SUMIFS(tbLancamentos[Tempo indisponível],tbLancamentos[Equipamento],F480,tbLancamentos[Momento da falha],"&gt;="&amp;Res!$C$9,tbLancamentos[Momento da falha],"&lt;"&amp;Res!$O$9)+K480)</f>
        <v/>
      </c>
      <c r="K480" s="79">
        <v>9.5269999999996003E-5</v>
      </c>
      <c r="L480" s="71" t="str">
        <f>IF(F480="","",IFERROR(COUNTIFS(tbLancamentos[Equipamento],F480,tbLancamentos[Momento da falha],"&gt;"&amp;0,tbLancamentos[Momento do retorno],""),0))</f>
        <v/>
      </c>
    </row>
    <row r="481" spans="2:12" ht="20.100000000000001" customHeight="1" x14ac:dyDescent="0.25">
      <c r="B481" s="87">
        <v>475</v>
      </c>
      <c r="C481" s="88"/>
      <c r="D481" s="74"/>
      <c r="E481" s="74"/>
      <c r="F481" s="84" t="str">
        <f t="shared" si="7"/>
        <v/>
      </c>
      <c r="G481" s="89" t="str">
        <f>IF(F481="","",VLOOKUP($C481,CadSet!$C$7:$E$26,2,FALSE))</f>
        <v/>
      </c>
      <c r="H481" s="90" t="str">
        <f>IF(G481="","",VLOOKUP($C481,CadSet!$C$7:$E$26,3,FALSE))</f>
        <v/>
      </c>
      <c r="I481" s="91" t="str">
        <f>IF(F481="","",COUNTIFS(tbLancamentos[Equipamento],F481,tbLancamentos[Momento da falha],"&gt;="&amp;Res!$C$9,tbLancamentos[Momento da falha],"&lt;"&amp;Res!$O$9)+K481)</f>
        <v/>
      </c>
      <c r="J481" s="83" t="str">
        <f>IF(F481="","",SUMIFS(tbLancamentos[Tempo indisponível],tbLancamentos[Equipamento],F481,tbLancamentos[Momento da falha],"&gt;="&amp;Res!$C$9,tbLancamentos[Momento da falha],"&lt;"&amp;Res!$O$9)+K481)</f>
        <v/>
      </c>
      <c r="K481" s="79">
        <v>9.5259999999995995E-5</v>
      </c>
      <c r="L481" s="71" t="str">
        <f>IF(F481="","",IFERROR(COUNTIFS(tbLancamentos[Equipamento],F481,tbLancamentos[Momento da falha],"&gt;"&amp;0,tbLancamentos[Momento do retorno],""),0))</f>
        <v/>
      </c>
    </row>
    <row r="482" spans="2:12" ht="20.100000000000001" customHeight="1" x14ac:dyDescent="0.25">
      <c r="B482" s="87">
        <v>476</v>
      </c>
      <c r="C482" s="88"/>
      <c r="D482" s="74"/>
      <c r="E482" s="74"/>
      <c r="F482" s="84" t="str">
        <f t="shared" si="7"/>
        <v/>
      </c>
      <c r="G482" s="89" t="str">
        <f>IF(F482="","",VLOOKUP($C482,CadSet!$C$7:$E$26,2,FALSE))</f>
        <v/>
      </c>
      <c r="H482" s="90" t="str">
        <f>IF(G482="","",VLOOKUP($C482,CadSet!$C$7:$E$26,3,FALSE))</f>
        <v/>
      </c>
      <c r="I482" s="91" t="str">
        <f>IF(F482="","",COUNTIFS(tbLancamentos[Equipamento],F482,tbLancamentos[Momento da falha],"&gt;="&amp;Res!$C$9,tbLancamentos[Momento da falha],"&lt;"&amp;Res!$O$9)+K482)</f>
        <v/>
      </c>
      <c r="J482" s="83" t="str">
        <f>IF(F482="","",SUMIFS(tbLancamentos[Tempo indisponível],tbLancamentos[Equipamento],F482,tbLancamentos[Momento da falha],"&gt;="&amp;Res!$C$9,tbLancamentos[Momento da falha],"&lt;"&amp;Res!$O$9)+K482)</f>
        <v/>
      </c>
      <c r="K482" s="79">
        <v>9.5249999999996E-5</v>
      </c>
      <c r="L482" s="71" t="str">
        <f>IF(F482="","",IFERROR(COUNTIFS(tbLancamentos[Equipamento],F482,tbLancamentos[Momento da falha],"&gt;"&amp;0,tbLancamentos[Momento do retorno],""),0))</f>
        <v/>
      </c>
    </row>
    <row r="483" spans="2:12" ht="20.100000000000001" customHeight="1" x14ac:dyDescent="0.25">
      <c r="B483" s="87">
        <v>477</v>
      </c>
      <c r="C483" s="88"/>
      <c r="D483" s="74"/>
      <c r="E483" s="74"/>
      <c r="F483" s="84" t="str">
        <f t="shared" si="7"/>
        <v/>
      </c>
      <c r="G483" s="89" t="str">
        <f>IF(F483="","",VLOOKUP($C483,CadSet!$C$7:$E$26,2,FALSE))</f>
        <v/>
      </c>
      <c r="H483" s="90" t="str">
        <f>IF(G483="","",VLOOKUP($C483,CadSet!$C$7:$E$26,3,FALSE))</f>
        <v/>
      </c>
      <c r="I483" s="91" t="str">
        <f>IF(F483="","",COUNTIFS(tbLancamentos[Equipamento],F483,tbLancamentos[Momento da falha],"&gt;="&amp;Res!$C$9,tbLancamentos[Momento da falha],"&lt;"&amp;Res!$O$9)+K483)</f>
        <v/>
      </c>
      <c r="J483" s="83" t="str">
        <f>IF(F483="","",SUMIFS(tbLancamentos[Tempo indisponível],tbLancamentos[Equipamento],F483,tbLancamentos[Momento da falha],"&gt;="&amp;Res!$C$9,tbLancamentos[Momento da falha],"&lt;"&amp;Res!$O$9)+K483)</f>
        <v/>
      </c>
      <c r="K483" s="79">
        <v>9.5239999999996005E-5</v>
      </c>
      <c r="L483" s="71" t="str">
        <f>IF(F483="","",IFERROR(COUNTIFS(tbLancamentos[Equipamento],F483,tbLancamentos[Momento da falha],"&gt;"&amp;0,tbLancamentos[Momento do retorno],""),0))</f>
        <v/>
      </c>
    </row>
    <row r="484" spans="2:12" ht="20.100000000000001" customHeight="1" x14ac:dyDescent="0.25">
      <c r="B484" s="87">
        <v>478</v>
      </c>
      <c r="C484" s="88"/>
      <c r="D484" s="74"/>
      <c r="E484" s="74"/>
      <c r="F484" s="84" t="str">
        <f t="shared" si="7"/>
        <v/>
      </c>
      <c r="G484" s="89" t="str">
        <f>IF(F484="","",VLOOKUP($C484,CadSet!$C$7:$E$26,2,FALSE))</f>
        <v/>
      </c>
      <c r="H484" s="90" t="str">
        <f>IF(G484="","",VLOOKUP($C484,CadSet!$C$7:$E$26,3,FALSE))</f>
        <v/>
      </c>
      <c r="I484" s="91" t="str">
        <f>IF(F484="","",COUNTIFS(tbLancamentos[Equipamento],F484,tbLancamentos[Momento da falha],"&gt;="&amp;Res!$C$9,tbLancamentos[Momento da falha],"&lt;"&amp;Res!$O$9)+K484)</f>
        <v/>
      </c>
      <c r="J484" s="83" t="str">
        <f>IF(F484="","",SUMIFS(tbLancamentos[Tempo indisponível],tbLancamentos[Equipamento],F484,tbLancamentos[Momento da falha],"&gt;="&amp;Res!$C$9,tbLancamentos[Momento da falha],"&lt;"&amp;Res!$O$9)+K484)</f>
        <v/>
      </c>
      <c r="K484" s="79">
        <v>9.5229999999995997E-5</v>
      </c>
      <c r="L484" s="71" t="str">
        <f>IF(F484="","",IFERROR(COUNTIFS(tbLancamentos[Equipamento],F484,tbLancamentos[Momento da falha],"&gt;"&amp;0,tbLancamentos[Momento do retorno],""),0))</f>
        <v/>
      </c>
    </row>
    <row r="485" spans="2:12" ht="20.100000000000001" customHeight="1" x14ac:dyDescent="0.25">
      <c r="B485" s="87">
        <v>479</v>
      </c>
      <c r="C485" s="88"/>
      <c r="D485" s="74"/>
      <c r="E485" s="74"/>
      <c r="F485" s="84" t="str">
        <f t="shared" si="7"/>
        <v/>
      </c>
      <c r="G485" s="89" t="str">
        <f>IF(F485="","",VLOOKUP($C485,CadSet!$C$7:$E$26,2,FALSE))</f>
        <v/>
      </c>
      <c r="H485" s="90" t="str">
        <f>IF(G485="","",VLOOKUP($C485,CadSet!$C$7:$E$26,3,FALSE))</f>
        <v/>
      </c>
      <c r="I485" s="91" t="str">
        <f>IF(F485="","",COUNTIFS(tbLancamentos[Equipamento],F485,tbLancamentos[Momento da falha],"&gt;="&amp;Res!$C$9,tbLancamentos[Momento da falha],"&lt;"&amp;Res!$O$9)+K485)</f>
        <v/>
      </c>
      <c r="J485" s="83" t="str">
        <f>IF(F485="","",SUMIFS(tbLancamentos[Tempo indisponível],tbLancamentos[Equipamento],F485,tbLancamentos[Momento da falha],"&gt;="&amp;Res!$C$9,tbLancamentos[Momento da falha],"&lt;"&amp;Res!$O$9)+K485)</f>
        <v/>
      </c>
      <c r="K485" s="79">
        <v>9.5219999999996002E-5</v>
      </c>
      <c r="L485" s="71" t="str">
        <f>IF(F485="","",IFERROR(COUNTIFS(tbLancamentos[Equipamento],F485,tbLancamentos[Momento da falha],"&gt;"&amp;0,tbLancamentos[Momento do retorno],""),0))</f>
        <v/>
      </c>
    </row>
    <row r="486" spans="2:12" ht="20.100000000000001" customHeight="1" x14ac:dyDescent="0.25">
      <c r="B486" s="87">
        <v>480</v>
      </c>
      <c r="C486" s="88"/>
      <c r="D486" s="74"/>
      <c r="E486" s="74"/>
      <c r="F486" s="84" t="str">
        <f t="shared" si="7"/>
        <v/>
      </c>
      <c r="G486" s="89" t="str">
        <f>IF(F486="","",VLOOKUP($C486,CadSet!$C$7:$E$26,2,FALSE))</f>
        <v/>
      </c>
      <c r="H486" s="90" t="str">
        <f>IF(G486="","",VLOOKUP($C486,CadSet!$C$7:$E$26,3,FALSE))</f>
        <v/>
      </c>
      <c r="I486" s="91" t="str">
        <f>IF(F486="","",COUNTIFS(tbLancamentos[Equipamento],F486,tbLancamentos[Momento da falha],"&gt;="&amp;Res!$C$9,tbLancamentos[Momento da falha],"&lt;"&amp;Res!$O$9)+K486)</f>
        <v/>
      </c>
      <c r="J486" s="83" t="str">
        <f>IF(F486="","",SUMIFS(tbLancamentos[Tempo indisponível],tbLancamentos[Equipamento],F486,tbLancamentos[Momento da falha],"&gt;="&amp;Res!$C$9,tbLancamentos[Momento da falha],"&lt;"&amp;Res!$O$9)+K486)</f>
        <v/>
      </c>
      <c r="K486" s="79">
        <v>9.5209999999995993E-5</v>
      </c>
      <c r="L486" s="71" t="str">
        <f>IF(F486="","",IFERROR(COUNTIFS(tbLancamentos[Equipamento],F486,tbLancamentos[Momento da falha],"&gt;"&amp;0,tbLancamentos[Momento do retorno],""),0))</f>
        <v/>
      </c>
    </row>
    <row r="487" spans="2:12" ht="20.100000000000001" customHeight="1" x14ac:dyDescent="0.25">
      <c r="B487" s="87">
        <v>481</v>
      </c>
      <c r="C487" s="88"/>
      <c r="D487" s="74"/>
      <c r="E487" s="74"/>
      <c r="F487" s="84" t="str">
        <f t="shared" si="7"/>
        <v/>
      </c>
      <c r="G487" s="89" t="str">
        <f>IF(F487="","",VLOOKUP($C487,CadSet!$C$7:$E$26,2,FALSE))</f>
        <v/>
      </c>
      <c r="H487" s="90" t="str">
        <f>IF(G487="","",VLOOKUP($C487,CadSet!$C$7:$E$26,3,FALSE))</f>
        <v/>
      </c>
      <c r="I487" s="91" t="str">
        <f>IF(F487="","",COUNTIFS(tbLancamentos[Equipamento],F487,tbLancamentos[Momento da falha],"&gt;="&amp;Res!$C$9,tbLancamentos[Momento da falha],"&lt;"&amp;Res!$O$9)+K487)</f>
        <v/>
      </c>
      <c r="J487" s="83" t="str">
        <f>IF(F487="","",SUMIFS(tbLancamentos[Tempo indisponível],tbLancamentos[Equipamento],F487,tbLancamentos[Momento da falha],"&gt;="&amp;Res!$C$9,tbLancamentos[Momento da falha],"&lt;"&amp;Res!$O$9)+K487)</f>
        <v/>
      </c>
      <c r="K487" s="79">
        <v>9.5199999999995999E-5</v>
      </c>
      <c r="L487" s="71" t="str">
        <f>IF(F487="","",IFERROR(COUNTIFS(tbLancamentos[Equipamento],F487,tbLancamentos[Momento da falha],"&gt;"&amp;0,tbLancamentos[Momento do retorno],""),0))</f>
        <v/>
      </c>
    </row>
    <row r="488" spans="2:12" ht="20.100000000000001" customHeight="1" x14ac:dyDescent="0.25">
      <c r="B488" s="87">
        <v>482</v>
      </c>
      <c r="C488" s="88"/>
      <c r="D488" s="74"/>
      <c r="E488" s="74"/>
      <c r="F488" s="84" t="str">
        <f t="shared" si="7"/>
        <v/>
      </c>
      <c r="G488" s="89" t="str">
        <f>IF(F488="","",VLOOKUP($C488,CadSet!$C$7:$E$26,2,FALSE))</f>
        <v/>
      </c>
      <c r="H488" s="90" t="str">
        <f>IF(G488="","",VLOOKUP($C488,CadSet!$C$7:$E$26,3,FALSE))</f>
        <v/>
      </c>
      <c r="I488" s="91" t="str">
        <f>IF(F488="","",COUNTIFS(tbLancamentos[Equipamento],F488,tbLancamentos[Momento da falha],"&gt;="&amp;Res!$C$9,tbLancamentos[Momento da falha],"&lt;"&amp;Res!$O$9)+K488)</f>
        <v/>
      </c>
      <c r="J488" s="83" t="str">
        <f>IF(F488="","",SUMIFS(tbLancamentos[Tempo indisponível],tbLancamentos[Equipamento],F488,tbLancamentos[Momento da falha],"&gt;="&amp;Res!$C$9,tbLancamentos[Momento da falha],"&lt;"&amp;Res!$O$9)+K488)</f>
        <v/>
      </c>
      <c r="K488" s="79">
        <v>9.5189999999996004E-5</v>
      </c>
      <c r="L488" s="71" t="str">
        <f>IF(F488="","",IFERROR(COUNTIFS(tbLancamentos[Equipamento],F488,tbLancamentos[Momento da falha],"&gt;"&amp;0,tbLancamentos[Momento do retorno],""),0))</f>
        <v/>
      </c>
    </row>
    <row r="489" spans="2:12" ht="20.100000000000001" customHeight="1" x14ac:dyDescent="0.25">
      <c r="B489" s="87">
        <v>483</v>
      </c>
      <c r="C489" s="88"/>
      <c r="D489" s="74"/>
      <c r="E489" s="74"/>
      <c r="F489" s="84" t="str">
        <f t="shared" si="7"/>
        <v/>
      </c>
      <c r="G489" s="89" t="str">
        <f>IF(F489="","",VLOOKUP($C489,CadSet!$C$7:$E$26,2,FALSE))</f>
        <v/>
      </c>
      <c r="H489" s="90" t="str">
        <f>IF(G489="","",VLOOKUP($C489,CadSet!$C$7:$E$26,3,FALSE))</f>
        <v/>
      </c>
      <c r="I489" s="91" t="str">
        <f>IF(F489="","",COUNTIFS(tbLancamentos[Equipamento],F489,tbLancamentos[Momento da falha],"&gt;="&amp;Res!$C$9,tbLancamentos[Momento da falha],"&lt;"&amp;Res!$O$9)+K489)</f>
        <v/>
      </c>
      <c r="J489" s="83" t="str">
        <f>IF(F489="","",SUMIFS(tbLancamentos[Tempo indisponível],tbLancamentos[Equipamento],F489,tbLancamentos[Momento da falha],"&gt;="&amp;Res!$C$9,tbLancamentos[Momento da falha],"&lt;"&amp;Res!$O$9)+K489)</f>
        <v/>
      </c>
      <c r="K489" s="79">
        <v>9.5179999999995995E-5</v>
      </c>
      <c r="L489" s="71" t="str">
        <f>IF(F489="","",IFERROR(COUNTIFS(tbLancamentos[Equipamento],F489,tbLancamentos[Momento da falha],"&gt;"&amp;0,tbLancamentos[Momento do retorno],""),0))</f>
        <v/>
      </c>
    </row>
    <row r="490" spans="2:12" ht="20.100000000000001" customHeight="1" x14ac:dyDescent="0.25">
      <c r="B490" s="87">
        <v>484</v>
      </c>
      <c r="C490" s="88"/>
      <c r="D490" s="74"/>
      <c r="E490" s="74"/>
      <c r="F490" s="84" t="str">
        <f t="shared" si="7"/>
        <v/>
      </c>
      <c r="G490" s="89" t="str">
        <f>IF(F490="","",VLOOKUP($C490,CadSet!$C$7:$E$26,2,FALSE))</f>
        <v/>
      </c>
      <c r="H490" s="90" t="str">
        <f>IF(G490="","",VLOOKUP($C490,CadSet!$C$7:$E$26,3,FALSE))</f>
        <v/>
      </c>
      <c r="I490" s="91" t="str">
        <f>IF(F490="","",COUNTIFS(tbLancamentos[Equipamento],F490,tbLancamentos[Momento da falha],"&gt;="&amp;Res!$C$9,tbLancamentos[Momento da falha],"&lt;"&amp;Res!$O$9)+K490)</f>
        <v/>
      </c>
      <c r="J490" s="83" t="str">
        <f>IF(F490="","",SUMIFS(tbLancamentos[Tempo indisponível],tbLancamentos[Equipamento],F490,tbLancamentos[Momento da falha],"&gt;="&amp;Res!$C$9,tbLancamentos[Momento da falha],"&lt;"&amp;Res!$O$9)+K490)</f>
        <v/>
      </c>
      <c r="K490" s="79">
        <v>9.5169999999996001E-5</v>
      </c>
      <c r="L490" s="71" t="str">
        <f>IF(F490="","",IFERROR(COUNTIFS(tbLancamentos[Equipamento],F490,tbLancamentos[Momento da falha],"&gt;"&amp;0,tbLancamentos[Momento do retorno],""),0))</f>
        <v/>
      </c>
    </row>
    <row r="491" spans="2:12" ht="20.100000000000001" customHeight="1" x14ac:dyDescent="0.25">
      <c r="B491" s="87">
        <v>485</v>
      </c>
      <c r="C491" s="88"/>
      <c r="D491" s="74"/>
      <c r="E491" s="74"/>
      <c r="F491" s="84" t="str">
        <f t="shared" si="7"/>
        <v/>
      </c>
      <c r="G491" s="89" t="str">
        <f>IF(F491="","",VLOOKUP($C491,CadSet!$C$7:$E$26,2,FALSE))</f>
        <v/>
      </c>
      <c r="H491" s="90" t="str">
        <f>IF(G491="","",VLOOKUP($C491,CadSet!$C$7:$E$26,3,FALSE))</f>
        <v/>
      </c>
      <c r="I491" s="91" t="str">
        <f>IF(F491="","",COUNTIFS(tbLancamentos[Equipamento],F491,tbLancamentos[Momento da falha],"&gt;="&amp;Res!$C$9,tbLancamentos[Momento da falha],"&lt;"&amp;Res!$O$9)+K491)</f>
        <v/>
      </c>
      <c r="J491" s="83" t="str">
        <f>IF(F491="","",SUMIFS(tbLancamentos[Tempo indisponível],tbLancamentos[Equipamento],F491,tbLancamentos[Momento da falha],"&gt;="&amp;Res!$C$9,tbLancamentos[Momento da falha],"&lt;"&amp;Res!$O$9)+K491)</f>
        <v/>
      </c>
      <c r="K491" s="79">
        <v>9.5159999999996006E-5</v>
      </c>
      <c r="L491" s="71" t="str">
        <f>IF(F491="","",IFERROR(COUNTIFS(tbLancamentos[Equipamento],F491,tbLancamentos[Momento da falha],"&gt;"&amp;0,tbLancamentos[Momento do retorno],""),0))</f>
        <v/>
      </c>
    </row>
    <row r="492" spans="2:12" ht="20.100000000000001" customHeight="1" x14ac:dyDescent="0.25">
      <c r="B492" s="87">
        <v>486</v>
      </c>
      <c r="C492" s="88"/>
      <c r="D492" s="74"/>
      <c r="E492" s="74"/>
      <c r="F492" s="84" t="str">
        <f t="shared" si="7"/>
        <v/>
      </c>
      <c r="G492" s="89" t="str">
        <f>IF(F492="","",VLOOKUP($C492,CadSet!$C$7:$E$26,2,FALSE))</f>
        <v/>
      </c>
      <c r="H492" s="90" t="str">
        <f>IF(G492="","",VLOOKUP($C492,CadSet!$C$7:$E$26,3,FALSE))</f>
        <v/>
      </c>
      <c r="I492" s="91" t="str">
        <f>IF(F492="","",COUNTIFS(tbLancamentos[Equipamento],F492,tbLancamentos[Momento da falha],"&gt;="&amp;Res!$C$9,tbLancamentos[Momento da falha],"&lt;"&amp;Res!$O$9)+K492)</f>
        <v/>
      </c>
      <c r="J492" s="83" t="str">
        <f>IF(F492="","",SUMIFS(tbLancamentos[Tempo indisponível],tbLancamentos[Equipamento],F492,tbLancamentos[Momento da falha],"&gt;="&amp;Res!$C$9,tbLancamentos[Momento da falha],"&lt;"&amp;Res!$O$9)+K492)</f>
        <v/>
      </c>
      <c r="K492" s="79">
        <v>9.5149999999995902E-5</v>
      </c>
      <c r="L492" s="71" t="str">
        <f>IF(F492="","",IFERROR(COUNTIFS(tbLancamentos[Equipamento],F492,tbLancamentos[Momento da falha],"&gt;"&amp;0,tbLancamentos[Momento do retorno],""),0))</f>
        <v/>
      </c>
    </row>
    <row r="493" spans="2:12" ht="20.100000000000001" customHeight="1" x14ac:dyDescent="0.25">
      <c r="B493" s="87">
        <v>487</v>
      </c>
      <c r="C493" s="88"/>
      <c r="D493" s="74"/>
      <c r="E493" s="74"/>
      <c r="F493" s="84" t="str">
        <f t="shared" si="7"/>
        <v/>
      </c>
      <c r="G493" s="89" t="str">
        <f>IF(F493="","",VLOOKUP($C493,CadSet!$C$7:$E$26,2,FALSE))</f>
        <v/>
      </c>
      <c r="H493" s="90" t="str">
        <f>IF(G493="","",VLOOKUP($C493,CadSet!$C$7:$E$26,3,FALSE))</f>
        <v/>
      </c>
      <c r="I493" s="91" t="str">
        <f>IF(F493="","",COUNTIFS(tbLancamentos[Equipamento],F493,tbLancamentos[Momento da falha],"&gt;="&amp;Res!$C$9,tbLancamentos[Momento da falha],"&lt;"&amp;Res!$O$9)+K493)</f>
        <v/>
      </c>
      <c r="J493" s="83" t="str">
        <f>IF(F493="","",SUMIFS(tbLancamentos[Tempo indisponível],tbLancamentos[Equipamento],F493,tbLancamentos[Momento da falha],"&gt;="&amp;Res!$C$9,tbLancamentos[Momento da falha],"&lt;"&amp;Res!$O$9)+K493)</f>
        <v/>
      </c>
      <c r="K493" s="79">
        <v>9.5139999999995894E-5</v>
      </c>
      <c r="L493" s="71" t="str">
        <f>IF(F493="","",IFERROR(COUNTIFS(tbLancamentos[Equipamento],F493,tbLancamentos[Momento da falha],"&gt;"&amp;0,tbLancamentos[Momento do retorno],""),0))</f>
        <v/>
      </c>
    </row>
    <row r="494" spans="2:12" ht="20.100000000000001" customHeight="1" x14ac:dyDescent="0.25">
      <c r="B494" s="87">
        <v>488</v>
      </c>
      <c r="C494" s="88"/>
      <c r="D494" s="74"/>
      <c r="E494" s="74"/>
      <c r="F494" s="84" t="str">
        <f t="shared" si="7"/>
        <v/>
      </c>
      <c r="G494" s="89" t="str">
        <f>IF(F494="","",VLOOKUP($C494,CadSet!$C$7:$E$26,2,FALSE))</f>
        <v/>
      </c>
      <c r="H494" s="90" t="str">
        <f>IF(G494="","",VLOOKUP($C494,CadSet!$C$7:$E$26,3,FALSE))</f>
        <v/>
      </c>
      <c r="I494" s="91" t="str">
        <f>IF(F494="","",COUNTIFS(tbLancamentos[Equipamento],F494,tbLancamentos[Momento da falha],"&gt;="&amp;Res!$C$9,tbLancamentos[Momento da falha],"&lt;"&amp;Res!$O$9)+K494)</f>
        <v/>
      </c>
      <c r="J494" s="83" t="str">
        <f>IF(F494="","",SUMIFS(tbLancamentos[Tempo indisponível],tbLancamentos[Equipamento],F494,tbLancamentos[Momento da falha],"&gt;="&amp;Res!$C$9,tbLancamentos[Momento da falha],"&lt;"&amp;Res!$O$9)+K494)</f>
        <v/>
      </c>
      <c r="K494" s="79">
        <v>9.5129999999995899E-5</v>
      </c>
      <c r="L494" s="71" t="str">
        <f>IF(F494="","",IFERROR(COUNTIFS(tbLancamentos[Equipamento],F494,tbLancamentos[Momento da falha],"&gt;"&amp;0,tbLancamentos[Momento do retorno],""),0))</f>
        <v/>
      </c>
    </row>
    <row r="495" spans="2:12" ht="20.100000000000001" customHeight="1" x14ac:dyDescent="0.25">
      <c r="B495" s="87">
        <v>489</v>
      </c>
      <c r="C495" s="88"/>
      <c r="D495" s="74"/>
      <c r="E495" s="74"/>
      <c r="F495" s="84" t="str">
        <f t="shared" si="7"/>
        <v/>
      </c>
      <c r="G495" s="89" t="str">
        <f>IF(F495="","",VLOOKUP($C495,CadSet!$C$7:$E$26,2,FALSE))</f>
        <v/>
      </c>
      <c r="H495" s="90" t="str">
        <f>IF(G495="","",VLOOKUP($C495,CadSet!$C$7:$E$26,3,FALSE))</f>
        <v/>
      </c>
      <c r="I495" s="91" t="str">
        <f>IF(F495="","",COUNTIFS(tbLancamentos[Equipamento],F495,tbLancamentos[Momento da falha],"&gt;="&amp;Res!$C$9,tbLancamentos[Momento da falha],"&lt;"&amp;Res!$O$9)+K495)</f>
        <v/>
      </c>
      <c r="J495" s="83" t="str">
        <f>IF(F495="","",SUMIFS(tbLancamentos[Tempo indisponível],tbLancamentos[Equipamento],F495,tbLancamentos[Momento da falha],"&gt;="&amp;Res!$C$9,tbLancamentos[Momento da falha],"&lt;"&amp;Res!$O$9)+K495)</f>
        <v/>
      </c>
      <c r="K495" s="79">
        <v>9.5119999999995904E-5</v>
      </c>
      <c r="L495" s="71" t="str">
        <f>IF(F495="","",IFERROR(COUNTIFS(tbLancamentos[Equipamento],F495,tbLancamentos[Momento da falha],"&gt;"&amp;0,tbLancamentos[Momento do retorno],""),0))</f>
        <v/>
      </c>
    </row>
    <row r="496" spans="2:12" ht="20.100000000000001" customHeight="1" x14ac:dyDescent="0.25">
      <c r="B496" s="87">
        <v>490</v>
      </c>
      <c r="C496" s="88"/>
      <c r="D496" s="74"/>
      <c r="E496" s="74"/>
      <c r="F496" s="84" t="str">
        <f t="shared" si="7"/>
        <v/>
      </c>
      <c r="G496" s="89" t="str">
        <f>IF(F496="","",VLOOKUP($C496,CadSet!$C$7:$E$26,2,FALSE))</f>
        <v/>
      </c>
      <c r="H496" s="90" t="str">
        <f>IF(G496="","",VLOOKUP($C496,CadSet!$C$7:$E$26,3,FALSE))</f>
        <v/>
      </c>
      <c r="I496" s="91" t="str">
        <f>IF(F496="","",COUNTIFS(tbLancamentos[Equipamento],F496,tbLancamentos[Momento da falha],"&gt;="&amp;Res!$C$9,tbLancamentos[Momento da falha],"&lt;"&amp;Res!$O$9)+K496)</f>
        <v/>
      </c>
      <c r="J496" s="83" t="str">
        <f>IF(F496="","",SUMIFS(tbLancamentos[Tempo indisponível],tbLancamentos[Equipamento],F496,tbLancamentos[Momento da falha],"&gt;="&amp;Res!$C$9,tbLancamentos[Momento da falha],"&lt;"&amp;Res!$O$9)+K496)</f>
        <v/>
      </c>
      <c r="K496" s="79">
        <v>9.5109999999995896E-5</v>
      </c>
      <c r="L496" s="71" t="str">
        <f>IF(F496="","",IFERROR(COUNTIFS(tbLancamentos[Equipamento],F496,tbLancamentos[Momento da falha],"&gt;"&amp;0,tbLancamentos[Momento do retorno],""),0))</f>
        <v/>
      </c>
    </row>
    <row r="497" spans="2:12" ht="20.100000000000001" customHeight="1" x14ac:dyDescent="0.25">
      <c r="B497" s="87">
        <v>491</v>
      </c>
      <c r="C497" s="88"/>
      <c r="D497" s="74"/>
      <c r="E497" s="74"/>
      <c r="F497" s="84" t="str">
        <f t="shared" si="7"/>
        <v/>
      </c>
      <c r="G497" s="89" t="str">
        <f>IF(F497="","",VLOOKUP($C497,CadSet!$C$7:$E$26,2,FALSE))</f>
        <v/>
      </c>
      <c r="H497" s="90" t="str">
        <f>IF(G497="","",VLOOKUP($C497,CadSet!$C$7:$E$26,3,FALSE))</f>
        <v/>
      </c>
      <c r="I497" s="91" t="str">
        <f>IF(F497="","",COUNTIFS(tbLancamentos[Equipamento],F497,tbLancamentos[Momento da falha],"&gt;="&amp;Res!$C$9,tbLancamentos[Momento da falha],"&lt;"&amp;Res!$O$9)+K497)</f>
        <v/>
      </c>
      <c r="J497" s="83" t="str">
        <f>IF(F497="","",SUMIFS(tbLancamentos[Tempo indisponível],tbLancamentos[Equipamento],F497,tbLancamentos[Momento da falha],"&gt;="&amp;Res!$C$9,tbLancamentos[Momento da falha],"&lt;"&amp;Res!$O$9)+K497)</f>
        <v/>
      </c>
      <c r="K497" s="79">
        <v>9.5099999999995901E-5</v>
      </c>
      <c r="L497" s="71" t="str">
        <f>IF(F497="","",IFERROR(COUNTIFS(tbLancamentos[Equipamento],F497,tbLancamentos[Momento da falha],"&gt;"&amp;0,tbLancamentos[Momento do retorno],""),0))</f>
        <v/>
      </c>
    </row>
    <row r="498" spans="2:12" ht="20.100000000000001" customHeight="1" x14ac:dyDescent="0.25">
      <c r="B498" s="87">
        <v>492</v>
      </c>
      <c r="C498" s="88"/>
      <c r="D498" s="74"/>
      <c r="E498" s="74"/>
      <c r="F498" s="84" t="str">
        <f t="shared" si="7"/>
        <v/>
      </c>
      <c r="G498" s="89" t="str">
        <f>IF(F498="","",VLOOKUP($C498,CadSet!$C$7:$E$26,2,FALSE))</f>
        <v/>
      </c>
      <c r="H498" s="90" t="str">
        <f>IF(G498="","",VLOOKUP($C498,CadSet!$C$7:$E$26,3,FALSE))</f>
        <v/>
      </c>
      <c r="I498" s="91" t="str">
        <f>IF(F498="","",COUNTIFS(tbLancamentos[Equipamento],F498,tbLancamentos[Momento da falha],"&gt;="&amp;Res!$C$9,tbLancamentos[Momento da falha],"&lt;"&amp;Res!$O$9)+K498)</f>
        <v/>
      </c>
      <c r="J498" s="83" t="str">
        <f>IF(F498="","",SUMIFS(tbLancamentos[Tempo indisponível],tbLancamentos[Equipamento],F498,tbLancamentos[Momento da falha],"&gt;="&amp;Res!$C$9,tbLancamentos[Momento da falha],"&lt;"&amp;Res!$O$9)+K498)</f>
        <v/>
      </c>
      <c r="K498" s="79">
        <v>9.5089999999995906E-5</v>
      </c>
      <c r="L498" s="71" t="str">
        <f>IF(F498="","",IFERROR(COUNTIFS(tbLancamentos[Equipamento],F498,tbLancamentos[Momento da falha],"&gt;"&amp;0,tbLancamentos[Momento do retorno],""),0))</f>
        <v/>
      </c>
    </row>
    <row r="499" spans="2:12" ht="20.100000000000001" customHeight="1" x14ac:dyDescent="0.25">
      <c r="B499" s="87">
        <v>493</v>
      </c>
      <c r="C499" s="88"/>
      <c r="D499" s="74"/>
      <c r="E499" s="74"/>
      <c r="F499" s="84" t="str">
        <f t="shared" si="7"/>
        <v/>
      </c>
      <c r="G499" s="89" t="str">
        <f>IF(F499="","",VLOOKUP($C499,CadSet!$C$7:$E$26,2,FALSE))</f>
        <v/>
      </c>
      <c r="H499" s="90" t="str">
        <f>IF(G499="","",VLOOKUP($C499,CadSet!$C$7:$E$26,3,FALSE))</f>
        <v/>
      </c>
      <c r="I499" s="91" t="str">
        <f>IF(F499="","",COUNTIFS(tbLancamentos[Equipamento],F499,tbLancamentos[Momento da falha],"&gt;="&amp;Res!$C$9,tbLancamentos[Momento da falha],"&lt;"&amp;Res!$O$9)+K499)</f>
        <v/>
      </c>
      <c r="J499" s="83" t="str">
        <f>IF(F499="","",SUMIFS(tbLancamentos[Tempo indisponível],tbLancamentos[Equipamento],F499,tbLancamentos[Momento da falha],"&gt;="&amp;Res!$C$9,tbLancamentos[Momento da falha],"&lt;"&amp;Res!$O$9)+K499)</f>
        <v/>
      </c>
      <c r="K499" s="79">
        <v>9.5079999999995898E-5</v>
      </c>
      <c r="L499" s="71" t="str">
        <f>IF(F499="","",IFERROR(COUNTIFS(tbLancamentos[Equipamento],F499,tbLancamentos[Momento da falha],"&gt;"&amp;0,tbLancamentos[Momento do retorno],""),0))</f>
        <v/>
      </c>
    </row>
    <row r="500" spans="2:12" ht="20.100000000000001" customHeight="1" x14ac:dyDescent="0.25">
      <c r="B500" s="87">
        <v>494</v>
      </c>
      <c r="C500" s="88"/>
      <c r="D500" s="74"/>
      <c r="E500" s="74"/>
      <c r="F500" s="84" t="str">
        <f t="shared" si="7"/>
        <v/>
      </c>
      <c r="G500" s="89" t="str">
        <f>IF(F500="","",VLOOKUP($C500,CadSet!$C$7:$E$26,2,FALSE))</f>
        <v/>
      </c>
      <c r="H500" s="90" t="str">
        <f>IF(G500="","",VLOOKUP($C500,CadSet!$C$7:$E$26,3,FALSE))</f>
        <v/>
      </c>
      <c r="I500" s="91" t="str">
        <f>IF(F500="","",COUNTIFS(tbLancamentos[Equipamento],F500,tbLancamentos[Momento da falha],"&gt;="&amp;Res!$C$9,tbLancamentos[Momento da falha],"&lt;"&amp;Res!$O$9)+K500)</f>
        <v/>
      </c>
      <c r="J500" s="83" t="str">
        <f>IF(F500="","",SUMIFS(tbLancamentos[Tempo indisponível],tbLancamentos[Equipamento],F500,tbLancamentos[Momento da falha],"&gt;="&amp;Res!$C$9,tbLancamentos[Momento da falha],"&lt;"&amp;Res!$O$9)+K500)</f>
        <v/>
      </c>
      <c r="K500" s="79">
        <v>9.5069999999995903E-5</v>
      </c>
      <c r="L500" s="71" t="str">
        <f>IF(F500="","",IFERROR(COUNTIFS(tbLancamentos[Equipamento],F500,tbLancamentos[Momento da falha],"&gt;"&amp;0,tbLancamentos[Momento do retorno],""),0))</f>
        <v/>
      </c>
    </row>
    <row r="501" spans="2:12" ht="20.100000000000001" customHeight="1" x14ac:dyDescent="0.25">
      <c r="B501" s="87">
        <v>495</v>
      </c>
      <c r="C501" s="88"/>
      <c r="D501" s="74"/>
      <c r="E501" s="74"/>
      <c r="F501" s="84" t="str">
        <f t="shared" si="7"/>
        <v/>
      </c>
      <c r="G501" s="89" t="str">
        <f>IF(F501="","",VLOOKUP($C501,CadSet!$C$7:$E$26,2,FALSE))</f>
        <v/>
      </c>
      <c r="H501" s="90" t="str">
        <f>IF(G501="","",VLOOKUP($C501,CadSet!$C$7:$E$26,3,FALSE))</f>
        <v/>
      </c>
      <c r="I501" s="91" t="str">
        <f>IF(F501="","",COUNTIFS(tbLancamentos[Equipamento],F501,tbLancamentos[Momento da falha],"&gt;="&amp;Res!$C$9,tbLancamentos[Momento da falha],"&lt;"&amp;Res!$O$9)+K501)</f>
        <v/>
      </c>
      <c r="J501" s="83" t="str">
        <f>IF(F501="","",SUMIFS(tbLancamentos[Tempo indisponível],tbLancamentos[Equipamento],F501,tbLancamentos[Momento da falha],"&gt;="&amp;Res!$C$9,tbLancamentos[Momento da falha],"&lt;"&amp;Res!$O$9)+K501)</f>
        <v/>
      </c>
      <c r="K501" s="79">
        <v>9.5059999999995895E-5</v>
      </c>
      <c r="L501" s="71" t="str">
        <f>IF(F501="","",IFERROR(COUNTIFS(tbLancamentos[Equipamento],F501,tbLancamentos[Momento da falha],"&gt;"&amp;0,tbLancamentos[Momento do retorno],""),0))</f>
        <v/>
      </c>
    </row>
    <row r="502" spans="2:12" ht="20.100000000000001" customHeight="1" x14ac:dyDescent="0.25">
      <c r="B502" s="87">
        <v>496</v>
      </c>
      <c r="C502" s="88"/>
      <c r="D502" s="74"/>
      <c r="E502" s="74"/>
      <c r="F502" s="84" t="str">
        <f t="shared" si="7"/>
        <v/>
      </c>
      <c r="G502" s="89" t="str">
        <f>IF(F502="","",VLOOKUP($C502,CadSet!$C$7:$E$26,2,FALSE))</f>
        <v/>
      </c>
      <c r="H502" s="90" t="str">
        <f>IF(G502="","",VLOOKUP($C502,CadSet!$C$7:$E$26,3,FALSE))</f>
        <v/>
      </c>
      <c r="I502" s="91" t="str">
        <f>IF(F502="","",COUNTIFS(tbLancamentos[Equipamento],F502,tbLancamentos[Momento da falha],"&gt;="&amp;Res!$C$9,tbLancamentos[Momento da falha],"&lt;"&amp;Res!$O$9)+K502)</f>
        <v/>
      </c>
      <c r="J502" s="83" t="str">
        <f>IF(F502="","",SUMIFS(tbLancamentos[Tempo indisponível],tbLancamentos[Equipamento],F502,tbLancamentos[Momento da falha],"&gt;="&amp;Res!$C$9,tbLancamentos[Momento da falha],"&lt;"&amp;Res!$O$9)+K502)</f>
        <v/>
      </c>
      <c r="K502" s="79">
        <v>9.50499999999959E-5</v>
      </c>
      <c r="L502" s="71" t="str">
        <f>IF(F502="","",IFERROR(COUNTIFS(tbLancamentos[Equipamento],F502,tbLancamentos[Momento da falha],"&gt;"&amp;0,tbLancamentos[Momento do retorno],""),0))</f>
        <v/>
      </c>
    </row>
    <row r="503" spans="2:12" ht="20.100000000000001" customHeight="1" x14ac:dyDescent="0.25">
      <c r="B503" s="87">
        <v>497</v>
      </c>
      <c r="C503" s="88"/>
      <c r="D503" s="74"/>
      <c r="E503" s="74"/>
      <c r="F503" s="84" t="str">
        <f t="shared" si="7"/>
        <v/>
      </c>
      <c r="G503" s="89" t="str">
        <f>IF(F503="","",VLOOKUP($C503,CadSet!$C$7:$E$26,2,FALSE))</f>
        <v/>
      </c>
      <c r="H503" s="90" t="str">
        <f>IF(G503="","",VLOOKUP($C503,CadSet!$C$7:$E$26,3,FALSE))</f>
        <v/>
      </c>
      <c r="I503" s="91" t="str">
        <f>IF(F503="","",COUNTIFS(tbLancamentos[Equipamento],F503,tbLancamentos[Momento da falha],"&gt;="&amp;Res!$C$9,tbLancamentos[Momento da falha],"&lt;"&amp;Res!$O$9)+K503)</f>
        <v/>
      </c>
      <c r="J503" s="83" t="str">
        <f>IF(F503="","",SUMIFS(tbLancamentos[Tempo indisponível],tbLancamentos[Equipamento],F503,tbLancamentos[Momento da falha],"&gt;="&amp;Res!$C$9,tbLancamentos[Momento da falha],"&lt;"&amp;Res!$O$9)+K503)</f>
        <v/>
      </c>
      <c r="K503" s="79">
        <v>9.5039999999995905E-5</v>
      </c>
      <c r="L503" s="71" t="str">
        <f>IF(F503="","",IFERROR(COUNTIFS(tbLancamentos[Equipamento],F503,tbLancamentos[Momento da falha],"&gt;"&amp;0,tbLancamentos[Momento do retorno],""),0))</f>
        <v/>
      </c>
    </row>
    <row r="504" spans="2:12" ht="20.100000000000001" customHeight="1" x14ac:dyDescent="0.25">
      <c r="B504" s="87">
        <v>498</v>
      </c>
      <c r="C504" s="88"/>
      <c r="D504" s="74"/>
      <c r="E504" s="74"/>
      <c r="F504" s="84" t="str">
        <f t="shared" si="7"/>
        <v/>
      </c>
      <c r="G504" s="89" t="str">
        <f>IF(F504="","",VLOOKUP($C504,CadSet!$C$7:$E$26,2,FALSE))</f>
        <v/>
      </c>
      <c r="H504" s="90" t="str">
        <f>IF(G504="","",VLOOKUP($C504,CadSet!$C$7:$E$26,3,FALSE))</f>
        <v/>
      </c>
      <c r="I504" s="91" t="str">
        <f>IF(F504="","",COUNTIFS(tbLancamentos[Equipamento],F504,tbLancamentos[Momento da falha],"&gt;="&amp;Res!$C$9,tbLancamentos[Momento da falha],"&lt;"&amp;Res!$O$9)+K504)</f>
        <v/>
      </c>
      <c r="J504" s="83" t="str">
        <f>IF(F504="","",SUMIFS(tbLancamentos[Tempo indisponível],tbLancamentos[Equipamento],F504,tbLancamentos[Momento da falha],"&gt;="&amp;Res!$C$9,tbLancamentos[Momento da falha],"&lt;"&amp;Res!$O$9)+K504)</f>
        <v/>
      </c>
      <c r="K504" s="79">
        <v>9.5029999999995802E-5</v>
      </c>
      <c r="L504" s="71" t="str">
        <f>IF(F504="","",IFERROR(COUNTIFS(tbLancamentos[Equipamento],F504,tbLancamentos[Momento da falha],"&gt;"&amp;0,tbLancamentos[Momento do retorno],""),0))</f>
        <v/>
      </c>
    </row>
    <row r="505" spans="2:12" ht="20.100000000000001" customHeight="1" x14ac:dyDescent="0.25">
      <c r="B505" s="87">
        <v>499</v>
      </c>
      <c r="C505" s="88"/>
      <c r="D505" s="74"/>
      <c r="E505" s="74"/>
      <c r="F505" s="84" t="str">
        <f t="shared" si="7"/>
        <v/>
      </c>
      <c r="G505" s="89" t="str">
        <f>IF(F505="","",VLOOKUP($C505,CadSet!$C$7:$E$26,2,FALSE))</f>
        <v/>
      </c>
      <c r="H505" s="90" t="str">
        <f>IF(G505="","",VLOOKUP($C505,CadSet!$C$7:$E$26,3,FALSE))</f>
        <v/>
      </c>
      <c r="I505" s="91" t="str">
        <f>IF(F505="","",COUNTIFS(tbLancamentos[Equipamento],F505,tbLancamentos[Momento da falha],"&gt;="&amp;Res!$C$9,tbLancamentos[Momento da falha],"&lt;"&amp;Res!$O$9)+K505)</f>
        <v/>
      </c>
      <c r="J505" s="83" t="str">
        <f>IF(F505="","",SUMIFS(tbLancamentos[Tempo indisponível],tbLancamentos[Equipamento],F505,tbLancamentos[Momento da falha],"&gt;="&amp;Res!$C$9,tbLancamentos[Momento da falha],"&lt;"&amp;Res!$O$9)+K505)</f>
        <v/>
      </c>
      <c r="K505" s="79">
        <v>9.5019999999995794E-5</v>
      </c>
      <c r="L505" s="71" t="str">
        <f>IF(F505="","",IFERROR(COUNTIFS(tbLancamentos[Equipamento],F505,tbLancamentos[Momento da falha],"&gt;"&amp;0,tbLancamentos[Momento do retorno],""),0))</f>
        <v/>
      </c>
    </row>
    <row r="506" spans="2:12" ht="20.100000000000001" customHeight="1" x14ac:dyDescent="0.25">
      <c r="B506" s="87">
        <v>500</v>
      </c>
      <c r="C506" s="88"/>
      <c r="D506" s="74"/>
      <c r="E506" s="74"/>
      <c r="F506" s="84" t="str">
        <f t="shared" si="7"/>
        <v/>
      </c>
      <c r="G506" s="89" t="str">
        <f>IF(F506="","",VLOOKUP($C506,CadSet!$C$7:$E$26,2,FALSE))</f>
        <v/>
      </c>
      <c r="H506" s="90" t="str">
        <f>IF(G506="","",VLOOKUP($C506,CadSet!$C$7:$E$26,3,FALSE))</f>
        <v/>
      </c>
      <c r="I506" s="91" t="str">
        <f>IF(F506="","",COUNTIFS(tbLancamentos[Equipamento],F506,tbLancamentos[Momento da falha],"&gt;="&amp;Res!$C$9,tbLancamentos[Momento da falha],"&lt;"&amp;Res!$O$9)+K506)</f>
        <v/>
      </c>
      <c r="J506" s="83" t="str">
        <f>IF(F506="","",SUMIFS(tbLancamentos[Tempo indisponível],tbLancamentos[Equipamento],F506,tbLancamentos[Momento da falha],"&gt;="&amp;Res!$C$9,tbLancamentos[Momento da falha],"&lt;"&amp;Res!$O$9)+K506)</f>
        <v/>
      </c>
      <c r="K506" s="79">
        <v>9.5009999999995799E-5</v>
      </c>
      <c r="L506" s="71" t="str">
        <f>IF(F506="","",IFERROR(COUNTIFS(tbLancamentos[Equipamento],F506,tbLancamentos[Momento da falha],"&gt;"&amp;0,tbLancamentos[Momento do retorno],""),0))</f>
        <v/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CadCat!$C$7:$C$16</xm:f>
          </x14:formula1>
          <xm:sqref>E7:E506</xm:sqref>
        </x14:dataValidation>
        <x14:dataValidation type="list" allowBlank="1" showInputMessage="1" showErrorMessage="1">
          <x14:formula1>
            <xm:f>CadSet!$C$7:$C$26</xm:f>
          </x14:formula1>
          <xm:sqref>C7:C506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workbookViewId="0">
      <selection activeCell="C7" sqref="C7:C9"/>
    </sheetView>
  </sheetViews>
  <sheetFormatPr defaultRowHeight="15" x14ac:dyDescent="0.25"/>
  <cols>
    <col min="1" max="1" width="2.7109375" style="7" customWidth="1"/>
    <col min="2" max="2" width="5.7109375" style="7" customWidth="1"/>
    <col min="3" max="3" width="35.85546875" style="7" customWidth="1"/>
    <col min="4" max="4" width="15.5703125" style="7" hidden="1" customWidth="1"/>
    <col min="5" max="5" width="13.28515625" style="7" hidden="1" customWidth="1"/>
    <col min="6" max="6" width="11" style="7" hidden="1" customWidth="1"/>
    <col min="7" max="16384" width="9.140625" style="7"/>
  </cols>
  <sheetData>
    <row r="1" spans="2:6" s="3" customFormat="1" ht="30" customHeight="1" x14ac:dyDescent="0.25"/>
    <row r="2" spans="2:6" s="4" customFormat="1" ht="24.95" customHeight="1" x14ac:dyDescent="0.25"/>
    <row r="3" spans="2:6" s="5" customFormat="1" ht="20.100000000000001" customHeight="1" x14ac:dyDescent="0.25"/>
    <row r="4" spans="2:6" ht="21" x14ac:dyDescent="0.35">
      <c r="B4" s="68" t="s">
        <v>85</v>
      </c>
    </row>
    <row r="6" spans="2:6" ht="20.100000000000001" customHeight="1" x14ac:dyDescent="0.25">
      <c r="B6" s="69" t="s">
        <v>17</v>
      </c>
      <c r="C6" s="69" t="s">
        <v>24</v>
      </c>
      <c r="D6" s="70" t="s">
        <v>52</v>
      </c>
      <c r="E6" s="71" t="s">
        <v>53</v>
      </c>
      <c r="F6" s="72" t="s">
        <v>54</v>
      </c>
    </row>
    <row r="7" spans="2:6" ht="20.100000000000001" customHeight="1" x14ac:dyDescent="0.25">
      <c r="B7" s="87">
        <v>1</v>
      </c>
      <c r="C7" s="80" t="s">
        <v>22</v>
      </c>
      <c r="D7" s="91">
        <f ca="1">IF(C7="","",COUNTIFS(tbLancamentos[Falha],C7,tbLancamentos[Momento da falha],"&gt;="&amp;Res!$C$9,tbLancamentos[Momento da falha],"&lt;"&amp;Res!$O$9)+F7)</f>
        <v>1E-4</v>
      </c>
      <c r="E7" s="83">
        <f ca="1">IF(C7="","",SUMIFS(tbLancamentos[Tempo indisponível],tbLancamentos[Falha],C7,tbLancamentos[Momento da falha],"&gt;+"&amp;Res!$C$9,tbLancamentos[Momento da falha],"&lt;"&amp;Res!$O$9)+F7)</f>
        <v>1E-4</v>
      </c>
      <c r="F7" s="79">
        <v>1E-4</v>
      </c>
    </row>
    <row r="8" spans="2:6" ht="20.100000000000001" customHeight="1" x14ac:dyDescent="0.25">
      <c r="B8" s="87">
        <v>2</v>
      </c>
      <c r="C8" s="80" t="s">
        <v>21</v>
      </c>
      <c r="D8" s="91">
        <f ca="1">IF(C8="","",COUNTIFS(tbLancamentos[Falha],C8,tbLancamentos[Momento da falha],"&gt;="&amp;Res!$C$9,tbLancamentos[Momento da falha],"&lt;"&amp;Res!$O$9)+F8)</f>
        <v>1.00009999</v>
      </c>
      <c r="E8" s="83">
        <f ca="1">IF(C8="","",SUMIFS(tbLancamentos[Tempo indisponível],tbLancamentos[Falha],C8,tbLancamentos[Momento da falha],"&gt;+"&amp;Res!$C$9,tbLancamentos[Momento da falha],"&lt;"&amp;Res!$O$9)+F8)</f>
        <v>0.26390344476354705</v>
      </c>
      <c r="F8" s="79">
        <v>9.9989999999999996E-5</v>
      </c>
    </row>
    <row r="9" spans="2:6" ht="20.100000000000001" customHeight="1" x14ac:dyDescent="0.25">
      <c r="B9" s="87">
        <v>3</v>
      </c>
      <c r="C9" s="80" t="s">
        <v>109</v>
      </c>
      <c r="D9" s="91">
        <f ca="1">IF(C9="","",COUNTIFS(tbLancamentos[Falha],C9,tbLancamentos[Momento da falha],"&gt;="&amp;Res!$C$9,tbLancamentos[Momento da falha],"&lt;"&amp;Res!$O$9)+F9)</f>
        <v>9.9980000000000002E-5</v>
      </c>
      <c r="E9" s="83">
        <f ca="1">IF(C9="","",SUMIFS(tbLancamentos[Tempo indisponível],tbLancamentos[Falha],C9,tbLancamentos[Momento da falha],"&gt;+"&amp;Res!$C$9,tbLancamentos[Momento da falha],"&lt;"&amp;Res!$O$9)+F9)</f>
        <v>9.9980000000000002E-5</v>
      </c>
      <c r="F9" s="79">
        <v>9.9980000000000002E-5</v>
      </c>
    </row>
    <row r="10" spans="2:6" ht="20.100000000000001" customHeight="1" x14ac:dyDescent="0.25">
      <c r="B10" s="87">
        <v>4</v>
      </c>
      <c r="C10" s="74" t="s">
        <v>35</v>
      </c>
      <c r="D10" s="91">
        <f ca="1">IF(C10="","",COUNTIFS(tbLancamentos[Falha],C10,tbLancamentos[Momento da falha],"&gt;="&amp;Res!$C$9,tbLancamentos[Momento da falha],"&lt;"&amp;Res!$O$9)+F10)</f>
        <v>9.9969999999999993E-5</v>
      </c>
      <c r="E10" s="83">
        <f ca="1">IF(C10="","",SUMIFS(tbLancamentos[Tempo indisponível],tbLancamentos[Falha],C10,tbLancamentos[Momento da falha],"&gt;+"&amp;Res!$C$9,tbLancamentos[Momento da falha],"&lt;"&amp;Res!$O$9)+F10)</f>
        <v>9.9969999999999993E-5</v>
      </c>
      <c r="F10" s="79">
        <v>9.9969999999999993E-5</v>
      </c>
    </row>
    <row r="11" spans="2:6" ht="20.100000000000001" customHeight="1" x14ac:dyDescent="0.25">
      <c r="B11" s="87">
        <v>5</v>
      </c>
      <c r="C11" s="74" t="s">
        <v>23</v>
      </c>
      <c r="D11" s="91">
        <f ca="1">IF(C11="","",COUNTIFS(tbLancamentos[Falha],C11,tbLancamentos[Momento da falha],"&gt;="&amp;Res!$C$9,tbLancamentos[Momento da falha],"&lt;"&amp;Res!$O$9)+F11)</f>
        <v>9.9959999999999998E-5</v>
      </c>
      <c r="E11" s="83">
        <f ca="1">IF(C11="","",SUMIFS(tbLancamentos[Tempo indisponível],tbLancamentos[Falha],C11,tbLancamentos[Momento da falha],"&gt;+"&amp;Res!$C$9,tbLancamentos[Momento da falha],"&lt;"&amp;Res!$O$9)+F11)</f>
        <v>9.9959999999999998E-5</v>
      </c>
      <c r="F11" s="79">
        <v>9.9959999999999998E-5</v>
      </c>
    </row>
    <row r="12" spans="2:6" ht="20.100000000000001" customHeight="1" x14ac:dyDescent="0.25">
      <c r="B12" s="87">
        <v>6</v>
      </c>
      <c r="C12" s="74" t="s">
        <v>36</v>
      </c>
      <c r="D12" s="91">
        <f ca="1">IF(C12="","",COUNTIFS(tbLancamentos[Falha],C12,tbLancamentos[Momento da falha],"&gt;="&amp;Res!$C$9,tbLancamentos[Momento da falha],"&lt;"&amp;Res!$O$9)+F12)</f>
        <v>9.9950000000000004E-5</v>
      </c>
      <c r="E12" s="83">
        <f ca="1">IF(C12="","",SUMIFS(tbLancamentos[Tempo indisponível],tbLancamentos[Falha],C12,tbLancamentos[Momento da falha],"&gt;+"&amp;Res!$C$9,tbLancamentos[Momento da falha],"&lt;"&amp;Res!$O$9)+F12)</f>
        <v>9.9950000000000004E-5</v>
      </c>
      <c r="F12" s="79">
        <v>9.9950000000000004E-5</v>
      </c>
    </row>
    <row r="13" spans="2:6" ht="20.100000000000001" customHeight="1" x14ac:dyDescent="0.25">
      <c r="B13" s="87">
        <v>7</v>
      </c>
      <c r="C13" s="74"/>
      <c r="D13" s="91" t="str">
        <f>IF(C13="","",COUNTIFS(tbLancamentos[Falha],C13,tbLancamentos[Momento da falha],"&gt;="&amp;Res!$C$9,tbLancamentos[Momento da falha],"&lt;"&amp;Res!$O$9)+F13)</f>
        <v/>
      </c>
      <c r="E13" s="83" t="str">
        <f>IF(C13="","",SUMIFS(tbLancamentos[Tempo indisponível],tbLancamentos[Falha],C13,tbLancamentos[Momento da falha],"&gt;+"&amp;Res!$C$9,tbLancamentos[Momento da falha],"&lt;"&amp;Res!$O$9)+F13)</f>
        <v/>
      </c>
      <c r="F13" s="79">
        <v>9.9939999999999995E-5</v>
      </c>
    </row>
    <row r="14" spans="2:6" ht="20.100000000000001" customHeight="1" x14ac:dyDescent="0.25">
      <c r="B14" s="87">
        <v>8</v>
      </c>
      <c r="C14" s="74"/>
      <c r="D14" s="91" t="str">
        <f>IF(C14="","",COUNTIFS(tbLancamentos[Falha],C14,tbLancamentos[Momento da falha],"&gt;="&amp;Res!$C$9,tbLancamentos[Momento da falha],"&lt;"&amp;Res!$O$9)+F14)</f>
        <v/>
      </c>
      <c r="E14" s="83" t="str">
        <f>IF(C14="","",SUMIFS(tbLancamentos[Tempo indisponível],tbLancamentos[Falha],C14,tbLancamentos[Momento da falha],"&gt;+"&amp;Res!$C$9,tbLancamentos[Momento da falha],"&lt;"&amp;Res!$O$9)+F14)</f>
        <v/>
      </c>
      <c r="F14" s="79">
        <v>9.9929999999999906E-5</v>
      </c>
    </row>
    <row r="15" spans="2:6" ht="20.100000000000001" customHeight="1" x14ac:dyDescent="0.25">
      <c r="B15" s="87">
        <v>9</v>
      </c>
      <c r="C15" s="74"/>
      <c r="D15" s="91" t="str">
        <f>IF(C15="","",COUNTIFS(tbLancamentos[Falha],C15,tbLancamentos[Momento da falha],"&gt;="&amp;Res!$C$9,tbLancamentos[Momento da falha],"&lt;"&amp;Res!$O$9)+F15)</f>
        <v/>
      </c>
      <c r="E15" s="83" t="str">
        <f>IF(C15="","",SUMIFS(tbLancamentos[Tempo indisponível],tbLancamentos[Falha],C15,tbLancamentos[Momento da falha],"&gt;+"&amp;Res!$C$9,tbLancamentos[Momento da falha],"&lt;"&amp;Res!$O$9)+F15)</f>
        <v/>
      </c>
      <c r="F15" s="79">
        <v>9.9919999999999897E-5</v>
      </c>
    </row>
    <row r="16" spans="2:6" ht="20.100000000000001" customHeight="1" x14ac:dyDescent="0.25">
      <c r="B16" s="87">
        <v>10</v>
      </c>
      <c r="C16" s="74"/>
      <c r="D16" s="91" t="str">
        <f>IF(C16="","",COUNTIFS(tbLancamentos[Falha],C16,tbLancamentos[Momento da falha],"&gt;="&amp;Res!$C$9,tbLancamentos[Momento da falha],"&lt;"&amp;Res!$O$9)+F16)</f>
        <v/>
      </c>
      <c r="E16" s="83" t="str">
        <f>IF(C16="","",SUMIFS(tbLancamentos[Tempo indisponível],tbLancamentos[Falha],C16,tbLancamentos[Momento da falha],"&gt;+"&amp;Res!$C$9,tbLancamentos[Momento da falha],"&lt;"&amp;Res!$O$9)+F16)</f>
        <v/>
      </c>
      <c r="F16" s="79">
        <v>9.9909999999999902E-5</v>
      </c>
    </row>
    <row r="17" spans="2:6" ht="20.100000000000001" customHeight="1" x14ac:dyDescent="0.25">
      <c r="B17" s="87">
        <v>11</v>
      </c>
      <c r="C17" s="74"/>
      <c r="D17" s="91" t="str">
        <f>IF(C17="","",COUNTIFS(tbLancamentos[Falha],C17,tbLancamentos[Momento da falha],"&gt;="&amp;Res!$C$9,tbLancamentos[Momento da falha],"&lt;"&amp;Res!$O$9)+F17)</f>
        <v/>
      </c>
      <c r="E17" s="83" t="str">
        <f>IF(C17="","",SUMIFS(tbLancamentos[Tempo indisponível],tbLancamentos[Falha],C17,tbLancamentos[Momento da falha],"&gt;+"&amp;Res!$C$9,tbLancamentos[Momento da falha],"&lt;"&amp;Res!$O$9)+F17)</f>
        <v/>
      </c>
      <c r="F17" s="79">
        <v>9.9899999999999894E-5</v>
      </c>
    </row>
    <row r="18" spans="2:6" ht="20.100000000000001" customHeight="1" x14ac:dyDescent="0.25">
      <c r="B18" s="87">
        <v>12</v>
      </c>
      <c r="C18" s="74"/>
      <c r="D18" s="91" t="str">
        <f>IF(C18="","",COUNTIFS(tbLancamentos[Falha],C18,tbLancamentos[Momento da falha],"&gt;="&amp;Res!$C$9,tbLancamentos[Momento da falha],"&lt;"&amp;Res!$O$9)+F18)</f>
        <v/>
      </c>
      <c r="E18" s="83" t="str">
        <f>IF(C18="","",SUMIFS(tbLancamentos[Tempo indisponível],tbLancamentos[Falha],C18,tbLancamentos[Momento da falha],"&gt;+"&amp;Res!$C$9,tbLancamentos[Momento da falha],"&lt;"&amp;Res!$O$9)+F18)</f>
        <v/>
      </c>
      <c r="F18" s="79">
        <v>9.9889999999999899E-5</v>
      </c>
    </row>
    <row r="19" spans="2:6" ht="20.100000000000001" customHeight="1" x14ac:dyDescent="0.25">
      <c r="B19" s="87">
        <v>13</v>
      </c>
      <c r="C19" s="74"/>
      <c r="D19" s="91" t="str">
        <f>IF(C19="","",COUNTIFS(tbLancamentos[Falha],C19,tbLancamentos[Momento da falha],"&gt;="&amp;Res!$C$9,tbLancamentos[Momento da falha],"&lt;"&amp;Res!$O$9)+F19)</f>
        <v/>
      </c>
      <c r="E19" s="83" t="str">
        <f>IF(C19="","",SUMIFS(tbLancamentos[Tempo indisponível],tbLancamentos[Falha],C19,tbLancamentos[Momento da falha],"&gt;+"&amp;Res!$C$9,tbLancamentos[Momento da falha],"&lt;"&amp;Res!$O$9)+F19)</f>
        <v/>
      </c>
      <c r="F19" s="79">
        <v>9.9879999999999904E-5</v>
      </c>
    </row>
    <row r="20" spans="2:6" ht="20.100000000000001" customHeight="1" x14ac:dyDescent="0.25">
      <c r="B20" s="87">
        <v>14</v>
      </c>
      <c r="C20" s="74"/>
      <c r="D20" s="91" t="str">
        <f>IF(C20="","",COUNTIFS(tbLancamentos[Falha],C20,tbLancamentos[Momento da falha],"&gt;="&amp;Res!$C$9,tbLancamentos[Momento da falha],"&lt;"&amp;Res!$O$9)+F20)</f>
        <v/>
      </c>
      <c r="E20" s="83" t="str">
        <f>IF(C20="","",SUMIFS(tbLancamentos[Tempo indisponível],tbLancamentos[Falha],C20,tbLancamentos[Momento da falha],"&gt;+"&amp;Res!$C$9,tbLancamentos[Momento da falha],"&lt;"&amp;Res!$O$9)+F20)</f>
        <v/>
      </c>
      <c r="F20" s="79">
        <v>9.9869999999999896E-5</v>
      </c>
    </row>
    <row r="21" spans="2:6" ht="20.100000000000001" customHeight="1" x14ac:dyDescent="0.25">
      <c r="B21" s="87">
        <v>15</v>
      </c>
      <c r="C21" s="74"/>
      <c r="D21" s="91" t="str">
        <f>IF(C21="","",COUNTIFS(tbLancamentos[Falha],C21,tbLancamentos[Momento da falha],"&gt;="&amp;Res!$C$9,tbLancamentos[Momento da falha],"&lt;"&amp;Res!$O$9)+F21)</f>
        <v/>
      </c>
      <c r="E21" s="83" t="str">
        <f>IF(C21="","",SUMIFS(tbLancamentos[Tempo indisponível],tbLancamentos[Falha],C21,tbLancamentos[Momento da falha],"&gt;+"&amp;Res!$C$9,tbLancamentos[Momento da falha],"&lt;"&amp;Res!$O$9)+F21)</f>
        <v/>
      </c>
      <c r="F21" s="79">
        <v>9.9859999999999901E-5</v>
      </c>
    </row>
    <row r="22" spans="2:6" ht="20.100000000000001" customHeight="1" x14ac:dyDescent="0.25">
      <c r="B22" s="87">
        <v>16</v>
      </c>
      <c r="C22" s="74"/>
      <c r="D22" s="91" t="str">
        <f>IF(C22="","",COUNTIFS(tbLancamentos[Falha],C22,tbLancamentos[Momento da falha],"&gt;="&amp;Res!$C$9,tbLancamentos[Momento da falha],"&lt;"&amp;Res!$O$9)+F22)</f>
        <v/>
      </c>
      <c r="E22" s="83" t="str">
        <f>IF(C22="","",SUMIFS(tbLancamentos[Tempo indisponível],tbLancamentos[Falha],C22,tbLancamentos[Momento da falha],"&gt;+"&amp;Res!$C$9,tbLancamentos[Momento da falha],"&lt;"&amp;Res!$O$9)+F22)</f>
        <v/>
      </c>
      <c r="F22" s="79">
        <v>9.9849999999999906E-5</v>
      </c>
    </row>
    <row r="23" spans="2:6" ht="20.100000000000001" customHeight="1" x14ac:dyDescent="0.25">
      <c r="B23" s="87">
        <v>17</v>
      </c>
      <c r="C23" s="74"/>
      <c r="D23" s="91" t="str">
        <f>IF(C23="","",COUNTIFS(tbLancamentos[Falha],C23,tbLancamentos[Momento da falha],"&gt;="&amp;Res!$C$9,tbLancamentos[Momento da falha],"&lt;"&amp;Res!$O$9)+F23)</f>
        <v/>
      </c>
      <c r="E23" s="83" t="str">
        <f>IF(C23="","",SUMIFS(tbLancamentos[Tempo indisponível],tbLancamentos[Falha],C23,tbLancamentos[Momento da falha],"&gt;+"&amp;Res!$C$9,tbLancamentos[Momento da falha],"&lt;"&amp;Res!$O$9)+F23)</f>
        <v/>
      </c>
      <c r="F23" s="79">
        <v>9.9839999999999898E-5</v>
      </c>
    </row>
    <row r="24" spans="2:6" ht="20.100000000000001" customHeight="1" x14ac:dyDescent="0.25">
      <c r="B24" s="87">
        <v>18</v>
      </c>
      <c r="C24" s="74"/>
      <c r="D24" s="91" t="str">
        <f>IF(C24="","",COUNTIFS(tbLancamentos[Falha],C24,tbLancamentos[Momento da falha],"&gt;="&amp;Res!$C$9,tbLancamentos[Momento da falha],"&lt;"&amp;Res!$O$9)+F24)</f>
        <v/>
      </c>
      <c r="E24" s="83" t="str">
        <f>IF(C24="","",SUMIFS(tbLancamentos[Tempo indisponível],tbLancamentos[Falha],C24,tbLancamentos[Momento da falha],"&gt;+"&amp;Res!$C$9,tbLancamentos[Momento da falha],"&lt;"&amp;Res!$O$9)+F24)</f>
        <v/>
      </c>
      <c r="F24" s="79">
        <v>9.9829999999999903E-5</v>
      </c>
    </row>
    <row r="25" spans="2:6" ht="20.100000000000001" customHeight="1" x14ac:dyDescent="0.25">
      <c r="B25" s="87">
        <v>19</v>
      </c>
      <c r="C25" s="74"/>
      <c r="D25" s="91" t="str">
        <f>IF(C25="","",COUNTIFS(tbLancamentos[Falha],C25,tbLancamentos[Momento da falha],"&gt;="&amp;Res!$C$9,tbLancamentos[Momento da falha],"&lt;"&amp;Res!$O$9)+F25)</f>
        <v/>
      </c>
      <c r="E25" s="83" t="str">
        <f>IF(C25="","",SUMIFS(tbLancamentos[Tempo indisponível],tbLancamentos[Falha],C25,tbLancamentos[Momento da falha],"&gt;+"&amp;Res!$C$9,tbLancamentos[Momento da falha],"&lt;"&amp;Res!$O$9)+F25)</f>
        <v/>
      </c>
      <c r="F25" s="79">
        <v>9.9819999999999895E-5</v>
      </c>
    </row>
    <row r="26" spans="2:6" ht="20.100000000000001" customHeight="1" x14ac:dyDescent="0.25">
      <c r="B26" s="87">
        <v>20</v>
      </c>
      <c r="C26" s="74"/>
      <c r="D26" s="91" t="str">
        <f>IF(C26="","",COUNTIFS(tbLancamentos[Falha],C26,tbLancamentos[Momento da falha],"&gt;="&amp;Res!$C$9,tbLancamentos[Momento da falha],"&lt;"&amp;Res!$O$9)+F26)</f>
        <v/>
      </c>
      <c r="E26" s="83" t="str">
        <f>IF(C26="","",SUMIFS(tbLancamentos[Tempo indisponível],tbLancamentos[Falha],C26,tbLancamentos[Momento da falha],"&gt;+"&amp;Res!$C$9,tbLancamentos[Momento da falha],"&lt;"&amp;Res!$O$9)+F26)</f>
        <v/>
      </c>
      <c r="F26" s="79">
        <v>9.9809999999999805E-5</v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6"/>
  <sheetViews>
    <sheetView showGridLines="0" zoomScaleNormal="100" workbookViewId="0"/>
  </sheetViews>
  <sheetFormatPr defaultRowHeight="15" x14ac:dyDescent="0.25"/>
  <cols>
    <col min="1" max="1" width="2.7109375" style="7" customWidth="1"/>
    <col min="2" max="2" width="5.7109375" style="7" customWidth="1"/>
    <col min="3" max="3" width="30.42578125" style="7" customWidth="1"/>
    <col min="4" max="4" width="16.85546875" style="7" bestFit="1" customWidth="1"/>
    <col min="5" max="5" width="27.5703125" style="7" bestFit="1" customWidth="1"/>
    <col min="6" max="7" width="16.5703125" style="7" customWidth="1"/>
    <col min="8" max="8" width="15.7109375" style="7" customWidth="1"/>
    <col min="9" max="9" width="13" style="7" customWidth="1"/>
    <col min="10" max="10" width="11" style="7" customWidth="1"/>
    <col min="11" max="11" width="12.28515625" style="7" bestFit="1" customWidth="1"/>
    <col min="12" max="12" width="19.28515625" style="7" bestFit="1" customWidth="1"/>
    <col min="13" max="13" width="14.28515625" style="7" hidden="1" customWidth="1"/>
    <col min="14" max="16384" width="9.140625" style="7"/>
  </cols>
  <sheetData>
    <row r="1" spans="2:13" s="3" customFormat="1" ht="30" customHeight="1" x14ac:dyDescent="0.25"/>
    <row r="2" spans="2:13" s="4" customFormat="1" ht="24.95" customHeight="1" x14ac:dyDescent="0.25"/>
    <row r="3" spans="2:13" s="5" customFormat="1" ht="20.100000000000001" customHeight="1" x14ac:dyDescent="0.25"/>
    <row r="4" spans="2:13" ht="21" x14ac:dyDescent="0.35">
      <c r="B4" s="68" t="s">
        <v>28</v>
      </c>
    </row>
    <row r="6" spans="2:13" ht="30" customHeight="1" x14ac:dyDescent="0.25">
      <c r="B6" s="93" t="s">
        <v>17</v>
      </c>
      <c r="C6" s="93" t="s">
        <v>26</v>
      </c>
      <c r="D6" s="93" t="s">
        <v>25</v>
      </c>
      <c r="E6" s="93" t="s">
        <v>24</v>
      </c>
      <c r="F6" s="93" t="s">
        <v>29</v>
      </c>
      <c r="G6" s="93" t="s">
        <v>30</v>
      </c>
      <c r="H6" s="93" t="s">
        <v>31</v>
      </c>
      <c r="I6" s="93" t="s">
        <v>32</v>
      </c>
      <c r="J6" s="93" t="s">
        <v>33</v>
      </c>
      <c r="K6" s="93" t="s">
        <v>108</v>
      </c>
      <c r="L6" s="93" t="s">
        <v>34</v>
      </c>
      <c r="M6" s="93" t="s">
        <v>92</v>
      </c>
    </row>
    <row r="7" spans="2:13" x14ac:dyDescent="0.25">
      <c r="B7" s="2">
        <f>COUNTA($B$6:B6)</f>
        <v>1</v>
      </c>
      <c r="C7" s="99" t="s">
        <v>107</v>
      </c>
      <c r="D7" s="16" t="str">
        <f>IFERROR(IF(C7="","",INDEX(CadEqu!$E$7:$F$506,MATCH(tbLancamentos[[#This Row],[Equipamento]],CadEqu!$F$7:$F$506,0),1)),"")</f>
        <v>Câmera</v>
      </c>
      <c r="E7" s="99" t="s">
        <v>21</v>
      </c>
      <c r="F7" s="100">
        <v>44562.134872685187</v>
      </c>
      <c r="G7" s="100">
        <v>44562.39867613995</v>
      </c>
      <c r="H7" s="96">
        <f ca="1">IF(tbLancamentos[Momento da falha]="","",IF(tbLancamentos[Momento do retorno]="",NOW()-tbLancamentos[Momento da falha],tbLancamentos[Momento do retorno]-tbLancamentos[Momento da falha]))</f>
        <v>0.26380345476354705</v>
      </c>
      <c r="I7" s="96">
        <f>IF(tbLancamentos[[#This Row],[Momento da falha]]="","",IFERROR(VLOOKUP(tbLancamentos[[#This Row],[Equipamento]],CadEqu!$F$7:$H$506,3,FALSE),""))</f>
        <v>0.20833333333333334</v>
      </c>
      <c r="J7" s="96">
        <f ca="1">IF(tbLancamentos[Tempo indisponível]="","",IF(tbLancamentos[Tempo indisponível]&lt;=tbLancamentos[Meta tempo reparo],0,tbLancamentos[Tempo indisponível]-tbLancamentos[Meta tempo reparo]))</f>
        <v>5.5470121430213709E-2</v>
      </c>
      <c r="K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>Concluído</v>
      </c>
      <c r="L7" s="101"/>
      <c r="M7" s="98" t="str">
        <f>IF(tbLancamentos[[#This Row],[Equipamento]]="","",IFERROR(INDEX(CadEqu!$C$7:$F$506,MATCH(tbLancamentos[[#This Row],[Equipamento]],CadEqu!$F$7:$F$506,0),1),""))</f>
        <v>Administrativo</v>
      </c>
    </row>
    <row r="8" spans="2:13" x14ac:dyDescent="0.25">
      <c r="B8" s="2">
        <f>COUNTA($B$6:B7)</f>
        <v>2</v>
      </c>
      <c r="C8" s="99"/>
      <c r="D8" s="16" t="str">
        <f>IFERROR(IF(C8="","",INDEX(CadEqu!$E$7:$F$506,MATCH(tbLancamentos[[#This Row],[Equipamento]],CadEqu!$F$7:$F$506,0),1)),"")</f>
        <v/>
      </c>
      <c r="E8" s="99"/>
      <c r="F8" s="100"/>
      <c r="G8" s="100"/>
      <c r="H8" s="96" t="str">
        <f ca="1">IF(tbLancamentos[Momento da falha]="","",IF(tbLancamentos[Momento do retorno]="",NOW()-tbLancamentos[Momento da falha],tbLancamentos[Momento do retorno]-tbLancamentos[Momento da falha]))</f>
        <v/>
      </c>
      <c r="I8" s="96" t="str">
        <f>IF(tbLancamentos[[#This Row],[Momento da falha]]="","",IFERROR(VLOOKUP(tbLancamentos[[#This Row],[Equipamento]],CadEqu!$F$7:$H$506,3,FALSE),""))</f>
        <v/>
      </c>
      <c r="J8" s="96" t="str">
        <f ca="1">IF(tbLancamentos[Tempo indisponível]="","",IF(tbLancamentos[Tempo indisponível]&lt;=tbLancamentos[Meta tempo reparo],0,tbLancamentos[Tempo indisponível]-tbLancamentos[Meta tempo reparo]))</f>
        <v/>
      </c>
      <c r="K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" s="101"/>
      <c r="M8" s="98" t="str">
        <f>IF(tbLancamentos[[#This Row],[Equipamento]]="","",IFERROR(INDEX(CadEqu!$C$7:$F$506,MATCH(tbLancamentos[[#This Row],[Equipamento]],CadEqu!$F$7:$F$506,0),1),""))</f>
        <v/>
      </c>
    </row>
    <row r="9" spans="2:13" x14ac:dyDescent="0.25">
      <c r="B9" s="2">
        <f>COUNTA($B$6:B8)</f>
        <v>3</v>
      </c>
      <c r="C9" s="99"/>
      <c r="D9" s="16" t="str">
        <f>IFERROR(IF(C9="","",INDEX(CadEqu!$E$7:$F$506,MATCH(tbLancamentos[[#This Row],[Equipamento]],CadEqu!$F$7:$F$506,0),1)),"")</f>
        <v/>
      </c>
      <c r="E9" s="99"/>
      <c r="F9" s="100"/>
      <c r="G9" s="100"/>
      <c r="H9" s="96" t="str">
        <f ca="1">IF(tbLancamentos[Momento da falha]="","",IF(tbLancamentos[Momento do retorno]="",NOW()-tbLancamentos[Momento da falha],tbLancamentos[Momento do retorno]-tbLancamentos[Momento da falha]))</f>
        <v/>
      </c>
      <c r="I9" s="96" t="str">
        <f>IF(tbLancamentos[[#This Row],[Momento da falha]]="","",IFERROR(VLOOKUP(tbLancamentos[[#This Row],[Equipamento]],CadEqu!$F$7:$H$506,3,FALSE),""))</f>
        <v/>
      </c>
      <c r="J9" s="96" t="str">
        <f ca="1">IF(tbLancamentos[Tempo indisponível]="","",IF(tbLancamentos[Tempo indisponível]&lt;=tbLancamentos[Meta tempo reparo],0,tbLancamentos[Tempo indisponível]-tbLancamentos[Meta tempo reparo]))</f>
        <v/>
      </c>
      <c r="K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" s="101"/>
      <c r="M9" s="98" t="str">
        <f>IF(tbLancamentos[[#This Row],[Equipamento]]="","",IFERROR(INDEX(CadEqu!$C$7:$F$506,MATCH(tbLancamentos[[#This Row],[Equipamento]],CadEqu!$F$7:$F$506,0),1),""))</f>
        <v/>
      </c>
    </row>
    <row r="10" spans="2:13" x14ac:dyDescent="0.25">
      <c r="B10" s="2">
        <f>COUNTA($B$6:B9)</f>
        <v>4</v>
      </c>
      <c r="C10" s="99"/>
      <c r="D10" s="16" t="str">
        <f>IFERROR(IF(C10="","",INDEX(CadEqu!$E$7:$F$506,MATCH(tbLancamentos[[#This Row],[Equipamento]],CadEqu!$F$7:$F$506,0),1)),"")</f>
        <v/>
      </c>
      <c r="E10" s="99"/>
      <c r="F10" s="100"/>
      <c r="G10" s="100"/>
      <c r="H10" s="96" t="str">
        <f ca="1">IF(tbLancamentos[Momento da falha]="","",IF(tbLancamentos[Momento do retorno]="",NOW()-tbLancamentos[Momento da falha],tbLancamentos[Momento do retorno]-tbLancamentos[Momento da falha]))</f>
        <v/>
      </c>
      <c r="I10" s="96" t="str">
        <f>IF(tbLancamentos[[#This Row],[Momento da falha]]="","",IFERROR(VLOOKUP(tbLancamentos[[#This Row],[Equipamento]],CadEqu!$F$7:$H$506,3,FALSE),""))</f>
        <v/>
      </c>
      <c r="J10" s="96" t="str">
        <f ca="1">IF(tbLancamentos[Tempo indisponível]="","",IF(tbLancamentos[Tempo indisponível]&lt;=tbLancamentos[Meta tempo reparo],0,tbLancamentos[Tempo indisponível]-tbLancamentos[Meta tempo reparo]))</f>
        <v/>
      </c>
      <c r="K1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" s="101"/>
      <c r="M10" s="98" t="str">
        <f>IF(tbLancamentos[[#This Row],[Equipamento]]="","",IFERROR(INDEX(CadEqu!$C$7:$F$506,MATCH(tbLancamentos[[#This Row],[Equipamento]],CadEqu!$F$7:$F$506,0),1),""))</f>
        <v/>
      </c>
    </row>
    <row r="11" spans="2:13" x14ac:dyDescent="0.25">
      <c r="B11" s="2">
        <f>COUNTA($B$6:B10)</f>
        <v>5</v>
      </c>
      <c r="C11" s="99"/>
      <c r="D11" s="16" t="str">
        <f>IFERROR(IF(C11="","",INDEX(CadEqu!$E$7:$F$506,MATCH(tbLancamentos[[#This Row],[Equipamento]],CadEqu!$F$7:$F$506,0),1)),"")</f>
        <v/>
      </c>
      <c r="E11" s="99"/>
      <c r="F11" s="100"/>
      <c r="G11" s="100"/>
      <c r="H11" s="96" t="str">
        <f ca="1">IF(tbLancamentos[Momento da falha]="","",IF(tbLancamentos[Momento do retorno]="",NOW()-tbLancamentos[Momento da falha],tbLancamentos[Momento do retorno]-tbLancamentos[Momento da falha]))</f>
        <v/>
      </c>
      <c r="I11" s="96" t="str">
        <f>IF(tbLancamentos[[#This Row],[Momento da falha]]="","",IFERROR(VLOOKUP(tbLancamentos[[#This Row],[Equipamento]],CadEqu!$F$7:$H$506,3,FALSE),""))</f>
        <v/>
      </c>
      <c r="J11" s="96" t="str">
        <f ca="1">IF(tbLancamentos[Tempo indisponível]="","",IF(tbLancamentos[Tempo indisponível]&lt;=tbLancamentos[Meta tempo reparo],0,tbLancamentos[Tempo indisponível]-tbLancamentos[Meta tempo reparo]))</f>
        <v/>
      </c>
      <c r="K1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" s="101"/>
      <c r="M11" s="98" t="str">
        <f>IF(tbLancamentos[[#This Row],[Equipamento]]="","",IFERROR(INDEX(CadEqu!$C$7:$F$506,MATCH(tbLancamentos[[#This Row],[Equipamento]],CadEqu!$F$7:$F$506,0),1),""))</f>
        <v/>
      </c>
    </row>
    <row r="12" spans="2:13" x14ac:dyDescent="0.25">
      <c r="B12" s="2">
        <f>COUNTA($B$6:B11)</f>
        <v>6</v>
      </c>
      <c r="C12" s="99"/>
      <c r="D12" s="16" t="str">
        <f>IFERROR(IF(C12="","",INDEX(CadEqu!$E$7:$F$506,MATCH(tbLancamentos[[#This Row],[Equipamento]],CadEqu!$F$7:$F$506,0),1)),"")</f>
        <v/>
      </c>
      <c r="E12" s="99"/>
      <c r="F12" s="100"/>
      <c r="G12" s="100"/>
      <c r="H12" s="96" t="str">
        <f ca="1">IF(tbLancamentos[Momento da falha]="","",IF(tbLancamentos[Momento do retorno]="",NOW()-tbLancamentos[Momento da falha],tbLancamentos[Momento do retorno]-tbLancamentos[Momento da falha]))</f>
        <v/>
      </c>
      <c r="I12" s="96" t="str">
        <f>IF(tbLancamentos[[#This Row],[Momento da falha]]="","",IFERROR(VLOOKUP(tbLancamentos[[#This Row],[Equipamento]],CadEqu!$F$7:$H$506,3,FALSE),""))</f>
        <v/>
      </c>
      <c r="J12" s="96" t="str">
        <f ca="1">IF(tbLancamentos[Tempo indisponível]="","",IF(tbLancamentos[Tempo indisponível]&lt;=tbLancamentos[Meta tempo reparo],0,tbLancamentos[Tempo indisponível]-tbLancamentos[Meta tempo reparo]))</f>
        <v/>
      </c>
      <c r="K1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" s="101"/>
      <c r="M12" s="98" t="str">
        <f>IF(tbLancamentos[[#This Row],[Equipamento]]="","",IFERROR(INDEX(CadEqu!$C$7:$F$506,MATCH(tbLancamentos[[#This Row],[Equipamento]],CadEqu!$F$7:$F$506,0),1),""))</f>
        <v/>
      </c>
    </row>
    <row r="13" spans="2:13" x14ac:dyDescent="0.25">
      <c r="B13" s="2">
        <f>COUNTA($B$6:B12)</f>
        <v>7</v>
      </c>
      <c r="C13" s="99"/>
      <c r="D13" s="16" t="str">
        <f>IFERROR(IF(C13="","",INDEX(CadEqu!$E$7:$F$506,MATCH(tbLancamentos[[#This Row],[Equipamento]],CadEqu!$F$7:$F$506,0),1)),"")</f>
        <v/>
      </c>
      <c r="E13" s="99"/>
      <c r="F13" s="100"/>
      <c r="G13" s="100"/>
      <c r="H13" s="96" t="str">
        <f ca="1">IF(tbLancamentos[Momento da falha]="","",IF(tbLancamentos[Momento do retorno]="",NOW()-tbLancamentos[Momento da falha],tbLancamentos[Momento do retorno]-tbLancamentos[Momento da falha]))</f>
        <v/>
      </c>
      <c r="I13" s="96" t="str">
        <f>IF(tbLancamentos[[#This Row],[Momento da falha]]="","",IFERROR(VLOOKUP(tbLancamentos[[#This Row],[Equipamento]],CadEqu!$F$7:$H$506,3,FALSE),""))</f>
        <v/>
      </c>
      <c r="J13" s="96" t="str">
        <f ca="1">IF(tbLancamentos[Tempo indisponível]="","",IF(tbLancamentos[Tempo indisponível]&lt;=tbLancamentos[Meta tempo reparo],0,tbLancamentos[Tempo indisponível]-tbLancamentos[Meta tempo reparo]))</f>
        <v/>
      </c>
      <c r="K1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" s="101"/>
      <c r="M13" s="98" t="str">
        <f>IF(tbLancamentos[[#This Row],[Equipamento]]="","",IFERROR(INDEX(CadEqu!$C$7:$F$506,MATCH(tbLancamentos[[#This Row],[Equipamento]],CadEqu!$F$7:$F$506,0),1),""))</f>
        <v/>
      </c>
    </row>
    <row r="14" spans="2:13" x14ac:dyDescent="0.25">
      <c r="B14" s="2">
        <f>COUNTA($B$6:B13)</f>
        <v>8</v>
      </c>
      <c r="C14" s="99"/>
      <c r="D14" s="16" t="str">
        <f>IFERROR(IF(C14="","",INDEX(CadEqu!$E$7:$F$506,MATCH(tbLancamentos[[#This Row],[Equipamento]],CadEqu!$F$7:$F$506,0),1)),"")</f>
        <v/>
      </c>
      <c r="E14" s="99"/>
      <c r="F14" s="100"/>
      <c r="G14" s="100"/>
      <c r="H14" s="96" t="str">
        <f ca="1">IF(tbLancamentos[Momento da falha]="","",IF(tbLancamentos[Momento do retorno]="",NOW()-tbLancamentos[Momento da falha],tbLancamentos[Momento do retorno]-tbLancamentos[Momento da falha]))</f>
        <v/>
      </c>
      <c r="I14" s="96" t="str">
        <f>IF(tbLancamentos[[#This Row],[Momento da falha]]="","",IFERROR(VLOOKUP(tbLancamentos[[#This Row],[Equipamento]],CadEqu!$F$7:$H$506,3,FALSE),""))</f>
        <v/>
      </c>
      <c r="J14" s="96" t="str">
        <f ca="1">IF(tbLancamentos[Tempo indisponível]="","",IF(tbLancamentos[Tempo indisponível]&lt;=tbLancamentos[Meta tempo reparo],0,tbLancamentos[Tempo indisponível]-tbLancamentos[Meta tempo reparo]))</f>
        <v/>
      </c>
      <c r="K1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" s="101"/>
      <c r="M14" s="98" t="str">
        <f>IF(tbLancamentos[[#This Row],[Equipamento]]="","",IFERROR(INDEX(CadEqu!$C$7:$F$506,MATCH(tbLancamentos[[#This Row],[Equipamento]],CadEqu!$F$7:$F$506,0),1),""))</f>
        <v/>
      </c>
    </row>
    <row r="15" spans="2:13" x14ac:dyDescent="0.25">
      <c r="B15" s="2">
        <f>COUNTA($B$6:B14)</f>
        <v>9</v>
      </c>
      <c r="C15" s="99"/>
      <c r="D15" s="16" t="str">
        <f>IFERROR(IF(C15="","",INDEX(CadEqu!$E$7:$F$506,MATCH(tbLancamentos[[#This Row],[Equipamento]],CadEqu!$F$7:$F$506,0),1)),"")</f>
        <v/>
      </c>
      <c r="E15" s="99"/>
      <c r="F15" s="100"/>
      <c r="G15" s="100"/>
      <c r="H15" s="96" t="str">
        <f ca="1">IF(tbLancamentos[Momento da falha]="","",IF(tbLancamentos[Momento do retorno]="",NOW()-tbLancamentos[Momento da falha],tbLancamentos[Momento do retorno]-tbLancamentos[Momento da falha]))</f>
        <v/>
      </c>
      <c r="I15" s="96" t="str">
        <f>IF(tbLancamentos[[#This Row],[Momento da falha]]="","",IFERROR(VLOOKUP(tbLancamentos[[#This Row],[Equipamento]],CadEqu!$F$7:$H$506,3,FALSE),""))</f>
        <v/>
      </c>
      <c r="J15" s="96" t="str">
        <f ca="1">IF(tbLancamentos[Tempo indisponível]="","",IF(tbLancamentos[Tempo indisponível]&lt;=tbLancamentos[Meta tempo reparo],0,tbLancamentos[Tempo indisponível]-tbLancamentos[Meta tempo reparo]))</f>
        <v/>
      </c>
      <c r="K1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" s="101"/>
      <c r="M15" s="98" t="str">
        <f>IF(tbLancamentos[[#This Row],[Equipamento]]="","",IFERROR(INDEX(CadEqu!$C$7:$F$506,MATCH(tbLancamentos[[#This Row],[Equipamento]],CadEqu!$F$7:$F$506,0),1),""))</f>
        <v/>
      </c>
    </row>
    <row r="16" spans="2:13" x14ac:dyDescent="0.25">
      <c r="B16" s="2">
        <f>COUNTA($B$6:B15)</f>
        <v>10</v>
      </c>
      <c r="C16" s="99"/>
      <c r="D16" s="16" t="str">
        <f>IFERROR(IF(C16="","",INDEX(CadEqu!$E$7:$F$506,MATCH(tbLancamentos[[#This Row],[Equipamento]],CadEqu!$F$7:$F$506,0),1)),"")</f>
        <v/>
      </c>
      <c r="E16" s="99"/>
      <c r="F16" s="100"/>
      <c r="G16" s="100"/>
      <c r="H16" s="96" t="str">
        <f ca="1">IF(tbLancamentos[Momento da falha]="","",IF(tbLancamentos[Momento do retorno]="",NOW()-tbLancamentos[Momento da falha],tbLancamentos[Momento do retorno]-tbLancamentos[Momento da falha]))</f>
        <v/>
      </c>
      <c r="I16" s="96" t="str">
        <f>IF(tbLancamentos[[#This Row],[Momento da falha]]="","",IFERROR(VLOOKUP(tbLancamentos[[#This Row],[Equipamento]],CadEqu!$F$7:$H$506,3,FALSE),""))</f>
        <v/>
      </c>
      <c r="J16" s="96" t="str">
        <f ca="1">IF(tbLancamentos[Tempo indisponível]="","",IF(tbLancamentos[Tempo indisponível]&lt;=tbLancamentos[Meta tempo reparo],0,tbLancamentos[Tempo indisponível]-tbLancamentos[Meta tempo reparo]))</f>
        <v/>
      </c>
      <c r="K1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" s="101"/>
      <c r="M16" s="98" t="str">
        <f>IF(tbLancamentos[[#This Row],[Equipamento]]="","",IFERROR(INDEX(CadEqu!$C$7:$F$506,MATCH(tbLancamentos[[#This Row],[Equipamento]],CadEqu!$F$7:$F$506,0),1),""))</f>
        <v/>
      </c>
    </row>
    <row r="17" spans="2:13" x14ac:dyDescent="0.25">
      <c r="B17" s="2">
        <f>COUNTA($B$6:B16)</f>
        <v>11</v>
      </c>
      <c r="C17" s="94"/>
      <c r="D17" s="16" t="str">
        <f>IFERROR(IF(C17="","",INDEX(CadEqu!$E$7:$F$506,MATCH(tbLancamentos[[#This Row],[Equipamento]],CadEqu!$F$7:$F$506,0),1)),"")</f>
        <v/>
      </c>
      <c r="E17" s="94"/>
      <c r="F17" s="95"/>
      <c r="G17" s="95"/>
      <c r="H17" s="96" t="str">
        <f ca="1">IF(tbLancamentos[Momento da falha]="","",IF(tbLancamentos[Momento do retorno]="",NOW()-tbLancamentos[Momento da falha],tbLancamentos[Momento do retorno]-tbLancamentos[Momento da falha]))</f>
        <v/>
      </c>
      <c r="I17" s="96" t="str">
        <f>IF(tbLancamentos[[#This Row],[Momento da falha]]="","",IFERROR(VLOOKUP(tbLancamentos[[#This Row],[Equipamento]],CadEqu!$F$7:$H$506,3,FALSE),""))</f>
        <v/>
      </c>
      <c r="J17" s="96" t="str">
        <f ca="1">IF(tbLancamentos[Tempo indisponível]="","",IF(tbLancamentos[Tempo indisponível]&lt;=tbLancamentos[Meta tempo reparo],0,tbLancamentos[Tempo indisponível]-tbLancamentos[Meta tempo reparo]))</f>
        <v/>
      </c>
      <c r="K1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" s="97"/>
      <c r="M17" s="98" t="str">
        <f>IF(tbLancamentos[[#This Row],[Equipamento]]="","",IFERROR(INDEX(CadEqu!$C$7:$F$506,MATCH(tbLancamentos[[#This Row],[Equipamento]],CadEqu!$F$7:$F$506,0),1),""))</f>
        <v/>
      </c>
    </row>
    <row r="18" spans="2:13" x14ac:dyDescent="0.25">
      <c r="B18" s="2">
        <f>COUNTA($B$6:B17)</f>
        <v>12</v>
      </c>
      <c r="C18" s="94"/>
      <c r="D18" s="16" t="str">
        <f>IFERROR(IF(C18="","",INDEX(CadEqu!$E$7:$F$506,MATCH(tbLancamentos[[#This Row],[Equipamento]],CadEqu!$F$7:$F$506,0),1)),"")</f>
        <v/>
      </c>
      <c r="E18" s="94"/>
      <c r="F18" s="95"/>
      <c r="G18" s="95"/>
      <c r="H18" s="96" t="str">
        <f ca="1">IF(tbLancamentos[Momento da falha]="","",IF(tbLancamentos[Momento do retorno]="",NOW()-tbLancamentos[Momento da falha],tbLancamentos[Momento do retorno]-tbLancamentos[Momento da falha]))</f>
        <v/>
      </c>
      <c r="I18" s="96" t="str">
        <f>IF(tbLancamentos[[#This Row],[Momento da falha]]="","",IFERROR(VLOOKUP(tbLancamentos[[#This Row],[Equipamento]],CadEqu!$F$7:$H$506,3,FALSE),""))</f>
        <v/>
      </c>
      <c r="J18" s="96" t="str">
        <f ca="1">IF(tbLancamentos[Tempo indisponível]="","",IF(tbLancamentos[Tempo indisponível]&lt;=tbLancamentos[Meta tempo reparo],0,tbLancamentos[Tempo indisponível]-tbLancamentos[Meta tempo reparo]))</f>
        <v/>
      </c>
      <c r="K1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" s="97"/>
      <c r="M18" s="98" t="str">
        <f>IF(tbLancamentos[[#This Row],[Equipamento]]="","",IFERROR(INDEX(CadEqu!$C$7:$F$506,MATCH(tbLancamentos[[#This Row],[Equipamento]],CadEqu!$F$7:$F$506,0),1),""))</f>
        <v/>
      </c>
    </row>
    <row r="19" spans="2:13" x14ac:dyDescent="0.25">
      <c r="B19" s="2">
        <f>COUNTA($B$6:B18)</f>
        <v>13</v>
      </c>
      <c r="C19" s="94"/>
      <c r="D19" s="16" t="str">
        <f>IFERROR(IF(C19="","",INDEX(CadEqu!$E$7:$F$506,MATCH(tbLancamentos[[#This Row],[Equipamento]],CadEqu!$F$7:$F$506,0),1)),"")</f>
        <v/>
      </c>
      <c r="E19" s="94"/>
      <c r="F19" s="95"/>
      <c r="G19" s="95"/>
      <c r="H19" s="96" t="str">
        <f ca="1">IF(tbLancamentos[Momento da falha]="","",IF(tbLancamentos[Momento do retorno]="",NOW()-tbLancamentos[Momento da falha],tbLancamentos[Momento do retorno]-tbLancamentos[Momento da falha]))</f>
        <v/>
      </c>
      <c r="I19" s="96" t="str">
        <f>IF(tbLancamentos[[#This Row],[Momento da falha]]="","",IFERROR(VLOOKUP(tbLancamentos[[#This Row],[Equipamento]],CadEqu!$F$7:$H$506,3,FALSE),""))</f>
        <v/>
      </c>
      <c r="J19" s="96" t="str">
        <f ca="1">IF(tbLancamentos[Tempo indisponível]="","",IF(tbLancamentos[Tempo indisponível]&lt;=tbLancamentos[Meta tempo reparo],0,tbLancamentos[Tempo indisponível]-tbLancamentos[Meta tempo reparo]))</f>
        <v/>
      </c>
      <c r="K1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" s="97"/>
      <c r="M19" s="98" t="str">
        <f>IF(tbLancamentos[[#This Row],[Equipamento]]="","",IFERROR(INDEX(CadEqu!$C$7:$F$506,MATCH(tbLancamentos[[#This Row],[Equipamento]],CadEqu!$F$7:$F$506,0),1),""))</f>
        <v/>
      </c>
    </row>
    <row r="20" spans="2:13" x14ac:dyDescent="0.25">
      <c r="B20" s="2">
        <f>COUNTA($B$6:B19)</f>
        <v>14</v>
      </c>
      <c r="C20" s="94"/>
      <c r="D20" s="16" t="str">
        <f>IFERROR(IF(C20="","",INDEX(CadEqu!$E$7:$F$506,MATCH(tbLancamentos[[#This Row],[Equipamento]],CadEqu!$F$7:$F$506,0),1)),"")</f>
        <v/>
      </c>
      <c r="E20" s="94"/>
      <c r="F20" s="95"/>
      <c r="G20" s="95"/>
      <c r="H20" s="96" t="str">
        <f ca="1">IF(tbLancamentos[Momento da falha]="","",IF(tbLancamentos[Momento do retorno]="",NOW()-tbLancamentos[Momento da falha],tbLancamentos[Momento do retorno]-tbLancamentos[Momento da falha]))</f>
        <v/>
      </c>
      <c r="I20" s="96" t="str">
        <f>IF(tbLancamentos[[#This Row],[Momento da falha]]="","",IFERROR(VLOOKUP(tbLancamentos[[#This Row],[Equipamento]],CadEqu!$F$7:$H$506,3,FALSE),""))</f>
        <v/>
      </c>
      <c r="J20" s="96" t="str">
        <f ca="1">IF(tbLancamentos[Tempo indisponível]="","",IF(tbLancamentos[Tempo indisponível]&lt;=tbLancamentos[Meta tempo reparo],0,tbLancamentos[Tempo indisponível]-tbLancamentos[Meta tempo reparo]))</f>
        <v/>
      </c>
      <c r="K2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" s="97"/>
      <c r="M20" s="98" t="str">
        <f>IF(tbLancamentos[[#This Row],[Equipamento]]="","",IFERROR(INDEX(CadEqu!$C$7:$F$506,MATCH(tbLancamentos[[#This Row],[Equipamento]],CadEqu!$F$7:$F$506,0),1),""))</f>
        <v/>
      </c>
    </row>
    <row r="21" spans="2:13" x14ac:dyDescent="0.25">
      <c r="B21" s="2">
        <f>COUNTA($B$6:B20)</f>
        <v>15</v>
      </c>
      <c r="C21" s="94"/>
      <c r="D21" s="16" t="str">
        <f>IFERROR(IF(C21="","",INDEX(CadEqu!$E$7:$F$506,MATCH(tbLancamentos[[#This Row],[Equipamento]],CadEqu!$F$7:$F$506,0),1)),"")</f>
        <v/>
      </c>
      <c r="E21" s="94"/>
      <c r="F21" s="95"/>
      <c r="G21" s="95"/>
      <c r="H21" s="96" t="str">
        <f ca="1">IF(tbLancamentos[Momento da falha]="","",IF(tbLancamentos[Momento do retorno]="",NOW()-tbLancamentos[Momento da falha],tbLancamentos[Momento do retorno]-tbLancamentos[Momento da falha]))</f>
        <v/>
      </c>
      <c r="I21" s="96" t="str">
        <f>IF(tbLancamentos[[#This Row],[Momento da falha]]="","",IFERROR(VLOOKUP(tbLancamentos[[#This Row],[Equipamento]],CadEqu!$F$7:$H$506,3,FALSE),""))</f>
        <v/>
      </c>
      <c r="J21" s="96" t="str">
        <f ca="1">IF(tbLancamentos[Tempo indisponível]="","",IF(tbLancamentos[Tempo indisponível]&lt;=tbLancamentos[Meta tempo reparo],0,tbLancamentos[Tempo indisponível]-tbLancamentos[Meta tempo reparo]))</f>
        <v/>
      </c>
      <c r="K2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" s="97"/>
      <c r="M21" s="98" t="str">
        <f>IF(tbLancamentos[[#This Row],[Equipamento]]="","",IFERROR(INDEX(CadEqu!$C$7:$F$506,MATCH(tbLancamentos[[#This Row],[Equipamento]],CadEqu!$F$7:$F$506,0),1),""))</f>
        <v/>
      </c>
    </row>
    <row r="22" spans="2:13" x14ac:dyDescent="0.25">
      <c r="B22" s="2">
        <f>COUNTA($B$6:B21)</f>
        <v>16</v>
      </c>
      <c r="C22" s="94"/>
      <c r="D22" s="16" t="str">
        <f>IFERROR(IF(C22="","",INDEX(CadEqu!$E$7:$F$506,MATCH(tbLancamentos[[#This Row],[Equipamento]],CadEqu!$F$7:$F$506,0),1)),"")</f>
        <v/>
      </c>
      <c r="E22" s="94"/>
      <c r="F22" s="95"/>
      <c r="G22" s="95"/>
      <c r="H22" s="96" t="str">
        <f ca="1">IF(tbLancamentos[Momento da falha]="","",IF(tbLancamentos[Momento do retorno]="",NOW()-tbLancamentos[Momento da falha],tbLancamentos[Momento do retorno]-tbLancamentos[Momento da falha]))</f>
        <v/>
      </c>
      <c r="I22" s="96" t="str">
        <f>IF(tbLancamentos[[#This Row],[Momento da falha]]="","",IFERROR(VLOOKUP(tbLancamentos[[#This Row],[Equipamento]],CadEqu!$F$7:$H$506,3,FALSE),""))</f>
        <v/>
      </c>
      <c r="J22" s="96" t="str">
        <f ca="1">IF(tbLancamentos[Tempo indisponível]="","",IF(tbLancamentos[Tempo indisponível]&lt;=tbLancamentos[Meta tempo reparo],0,tbLancamentos[Tempo indisponível]-tbLancamentos[Meta tempo reparo]))</f>
        <v/>
      </c>
      <c r="K2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" s="97"/>
      <c r="M22" s="98" t="str">
        <f>IF(tbLancamentos[[#This Row],[Equipamento]]="","",IFERROR(INDEX(CadEqu!$C$7:$F$506,MATCH(tbLancamentos[[#This Row],[Equipamento]],CadEqu!$F$7:$F$506,0),1),""))</f>
        <v/>
      </c>
    </row>
    <row r="23" spans="2:13" x14ac:dyDescent="0.25">
      <c r="B23" s="2">
        <f>COUNTA($B$6:B22)</f>
        <v>17</v>
      </c>
      <c r="C23" s="94"/>
      <c r="D23" s="16" t="str">
        <f>IFERROR(IF(C23="","",INDEX(CadEqu!$E$7:$F$506,MATCH(tbLancamentos[[#This Row],[Equipamento]],CadEqu!$F$7:$F$506,0),1)),"")</f>
        <v/>
      </c>
      <c r="E23" s="94"/>
      <c r="F23" s="95"/>
      <c r="G23" s="95"/>
      <c r="H23" s="96" t="str">
        <f ca="1">IF(tbLancamentos[Momento da falha]="","",IF(tbLancamentos[Momento do retorno]="",NOW()-tbLancamentos[Momento da falha],tbLancamentos[Momento do retorno]-tbLancamentos[Momento da falha]))</f>
        <v/>
      </c>
      <c r="I23" s="96" t="str">
        <f>IF(tbLancamentos[[#This Row],[Momento da falha]]="","",IFERROR(VLOOKUP(tbLancamentos[[#This Row],[Equipamento]],CadEqu!$F$7:$H$506,3,FALSE),""))</f>
        <v/>
      </c>
      <c r="J23" s="96" t="str">
        <f ca="1">IF(tbLancamentos[Tempo indisponível]="","",IF(tbLancamentos[Tempo indisponível]&lt;=tbLancamentos[Meta tempo reparo],0,tbLancamentos[Tempo indisponível]-tbLancamentos[Meta tempo reparo]))</f>
        <v/>
      </c>
      <c r="K2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" s="97"/>
      <c r="M23" s="98" t="str">
        <f>IF(tbLancamentos[[#This Row],[Equipamento]]="","",IFERROR(INDEX(CadEqu!$C$7:$F$506,MATCH(tbLancamentos[[#This Row],[Equipamento]],CadEqu!$F$7:$F$506,0),1),""))</f>
        <v/>
      </c>
    </row>
    <row r="24" spans="2:13" x14ac:dyDescent="0.25">
      <c r="B24" s="2">
        <f>COUNTA($B$6:B23)</f>
        <v>18</v>
      </c>
      <c r="C24" s="94"/>
      <c r="D24" s="16" t="str">
        <f>IFERROR(IF(C24="","",INDEX(CadEqu!$E$7:$F$506,MATCH(tbLancamentos[[#This Row],[Equipamento]],CadEqu!$F$7:$F$506,0),1)),"")</f>
        <v/>
      </c>
      <c r="E24" s="94"/>
      <c r="F24" s="95"/>
      <c r="G24" s="95"/>
      <c r="H24" s="96" t="str">
        <f ca="1">IF(tbLancamentos[Momento da falha]="","",IF(tbLancamentos[Momento do retorno]="",NOW()-tbLancamentos[Momento da falha],tbLancamentos[Momento do retorno]-tbLancamentos[Momento da falha]))</f>
        <v/>
      </c>
      <c r="I24" s="96" t="str">
        <f>IF(tbLancamentos[[#This Row],[Momento da falha]]="","",IFERROR(VLOOKUP(tbLancamentos[[#This Row],[Equipamento]],CadEqu!$F$7:$H$506,3,FALSE),""))</f>
        <v/>
      </c>
      <c r="J24" s="96" t="str">
        <f ca="1">IF(tbLancamentos[Tempo indisponível]="","",IF(tbLancamentos[Tempo indisponível]&lt;=tbLancamentos[Meta tempo reparo],0,tbLancamentos[Tempo indisponível]-tbLancamentos[Meta tempo reparo]))</f>
        <v/>
      </c>
      <c r="K2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" s="97"/>
      <c r="M24" s="98" t="str">
        <f>IF(tbLancamentos[[#This Row],[Equipamento]]="","",IFERROR(INDEX(CadEqu!$C$7:$F$506,MATCH(tbLancamentos[[#This Row],[Equipamento]],CadEqu!$F$7:$F$506,0),1),""))</f>
        <v/>
      </c>
    </row>
    <row r="25" spans="2:13" x14ac:dyDescent="0.25">
      <c r="B25" s="2">
        <f>COUNTA($B$6:B24)</f>
        <v>19</v>
      </c>
      <c r="C25" s="94"/>
      <c r="D25" s="16" t="str">
        <f>IFERROR(IF(C25="","",INDEX(CadEqu!$E$7:$F$506,MATCH(tbLancamentos[[#This Row],[Equipamento]],CadEqu!$F$7:$F$506,0),1)),"")</f>
        <v/>
      </c>
      <c r="E25" s="94"/>
      <c r="F25" s="95"/>
      <c r="G25" s="95"/>
      <c r="H25" s="96" t="str">
        <f ca="1">IF(tbLancamentos[Momento da falha]="","",IF(tbLancamentos[Momento do retorno]="",NOW()-tbLancamentos[Momento da falha],tbLancamentos[Momento do retorno]-tbLancamentos[Momento da falha]))</f>
        <v/>
      </c>
      <c r="I25" s="96" t="str">
        <f>IF(tbLancamentos[[#This Row],[Momento da falha]]="","",IFERROR(VLOOKUP(tbLancamentos[[#This Row],[Equipamento]],CadEqu!$F$7:$H$506,3,FALSE),""))</f>
        <v/>
      </c>
      <c r="J25" s="96" t="str">
        <f ca="1">IF(tbLancamentos[Tempo indisponível]="","",IF(tbLancamentos[Tempo indisponível]&lt;=tbLancamentos[Meta tempo reparo],0,tbLancamentos[Tempo indisponível]-tbLancamentos[Meta tempo reparo]))</f>
        <v/>
      </c>
      <c r="K2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" s="97"/>
      <c r="M25" s="98" t="str">
        <f>IF(tbLancamentos[[#This Row],[Equipamento]]="","",IFERROR(INDEX(CadEqu!$C$7:$F$506,MATCH(tbLancamentos[[#This Row],[Equipamento]],CadEqu!$F$7:$F$506,0),1),""))</f>
        <v/>
      </c>
    </row>
    <row r="26" spans="2:13" x14ac:dyDescent="0.25">
      <c r="B26" s="2">
        <f>COUNTA($B$6:B25)</f>
        <v>20</v>
      </c>
      <c r="C26" s="94"/>
      <c r="D26" s="16" t="str">
        <f>IFERROR(IF(C26="","",INDEX(CadEqu!$E$7:$F$506,MATCH(tbLancamentos[[#This Row],[Equipamento]],CadEqu!$F$7:$F$506,0),1)),"")</f>
        <v/>
      </c>
      <c r="E26" s="94"/>
      <c r="F26" s="95"/>
      <c r="G26" s="95"/>
      <c r="H26" s="96" t="str">
        <f ca="1">IF(tbLancamentos[Momento da falha]="","",IF(tbLancamentos[Momento do retorno]="",NOW()-tbLancamentos[Momento da falha],tbLancamentos[Momento do retorno]-tbLancamentos[Momento da falha]))</f>
        <v/>
      </c>
      <c r="I26" s="96" t="str">
        <f>IF(tbLancamentos[[#This Row],[Momento da falha]]="","",IFERROR(VLOOKUP(tbLancamentos[[#This Row],[Equipamento]],CadEqu!$F$7:$H$506,3,FALSE),""))</f>
        <v/>
      </c>
      <c r="J26" s="96" t="str">
        <f ca="1">IF(tbLancamentos[Tempo indisponível]="","",IF(tbLancamentos[Tempo indisponível]&lt;=tbLancamentos[Meta tempo reparo],0,tbLancamentos[Tempo indisponível]-tbLancamentos[Meta tempo reparo]))</f>
        <v/>
      </c>
      <c r="K2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6" s="97"/>
      <c r="M26" s="98" t="str">
        <f>IF(tbLancamentos[[#This Row],[Equipamento]]="","",IFERROR(INDEX(CadEqu!$C$7:$F$506,MATCH(tbLancamentos[[#This Row],[Equipamento]],CadEqu!$F$7:$F$506,0),1),""))</f>
        <v/>
      </c>
    </row>
    <row r="27" spans="2:13" x14ac:dyDescent="0.25">
      <c r="B27" s="2">
        <f>COUNTA($B$6:B26)</f>
        <v>21</v>
      </c>
      <c r="C27" s="94"/>
      <c r="D27" s="16" t="str">
        <f>IFERROR(IF(C27="","",INDEX(CadEqu!$E$7:$F$506,MATCH(tbLancamentos[[#This Row],[Equipamento]],CadEqu!$F$7:$F$506,0),1)),"")</f>
        <v/>
      </c>
      <c r="E27" s="94"/>
      <c r="F27" s="95"/>
      <c r="G27" s="95"/>
      <c r="H27" s="96" t="str">
        <f ca="1">IF(tbLancamentos[Momento da falha]="","",IF(tbLancamentos[Momento do retorno]="",NOW()-tbLancamentos[Momento da falha],tbLancamentos[Momento do retorno]-tbLancamentos[Momento da falha]))</f>
        <v/>
      </c>
      <c r="I27" s="96" t="str">
        <f>IF(tbLancamentos[[#This Row],[Momento da falha]]="","",IFERROR(VLOOKUP(tbLancamentos[[#This Row],[Equipamento]],CadEqu!$F$7:$H$506,3,FALSE),""))</f>
        <v/>
      </c>
      <c r="J27" s="96" t="str">
        <f ca="1">IF(tbLancamentos[Tempo indisponível]="","",IF(tbLancamentos[Tempo indisponível]&lt;=tbLancamentos[Meta tempo reparo],0,tbLancamentos[Tempo indisponível]-tbLancamentos[Meta tempo reparo]))</f>
        <v/>
      </c>
      <c r="K2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7" s="97"/>
      <c r="M27" s="98" t="str">
        <f>IF(tbLancamentos[[#This Row],[Equipamento]]="","",IFERROR(INDEX(CadEqu!$C$7:$F$506,MATCH(tbLancamentos[[#This Row],[Equipamento]],CadEqu!$F$7:$F$506,0),1),""))</f>
        <v/>
      </c>
    </row>
    <row r="28" spans="2:13" x14ac:dyDescent="0.25">
      <c r="B28" s="2">
        <f>COUNTA($B$6:B27)</f>
        <v>22</v>
      </c>
      <c r="C28" s="94"/>
      <c r="D28" s="16" t="str">
        <f>IFERROR(IF(C28="","",INDEX(CadEqu!$E$7:$F$506,MATCH(tbLancamentos[[#This Row],[Equipamento]],CadEqu!$F$7:$F$506,0),1)),"")</f>
        <v/>
      </c>
      <c r="E28" s="94"/>
      <c r="F28" s="95"/>
      <c r="G28" s="95"/>
      <c r="H28" s="96" t="str">
        <f ca="1">IF(tbLancamentos[Momento da falha]="","",IF(tbLancamentos[Momento do retorno]="",NOW()-tbLancamentos[Momento da falha],tbLancamentos[Momento do retorno]-tbLancamentos[Momento da falha]))</f>
        <v/>
      </c>
      <c r="I28" s="96" t="str">
        <f>IF(tbLancamentos[[#This Row],[Momento da falha]]="","",IFERROR(VLOOKUP(tbLancamentos[[#This Row],[Equipamento]],CadEqu!$F$7:$H$506,3,FALSE),""))</f>
        <v/>
      </c>
      <c r="J28" s="96" t="str">
        <f ca="1">IF(tbLancamentos[Tempo indisponível]="","",IF(tbLancamentos[Tempo indisponível]&lt;=tbLancamentos[Meta tempo reparo],0,tbLancamentos[Tempo indisponível]-tbLancamentos[Meta tempo reparo]))</f>
        <v/>
      </c>
      <c r="K2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8" s="97"/>
      <c r="M28" s="98" t="str">
        <f>IF(tbLancamentos[[#This Row],[Equipamento]]="","",IFERROR(INDEX(CadEqu!$C$7:$F$506,MATCH(tbLancamentos[[#This Row],[Equipamento]],CadEqu!$F$7:$F$506,0),1),""))</f>
        <v/>
      </c>
    </row>
    <row r="29" spans="2:13" x14ac:dyDescent="0.25">
      <c r="B29" s="2">
        <f>COUNTA($B$6:B28)</f>
        <v>23</v>
      </c>
      <c r="C29" s="94"/>
      <c r="D29" s="16" t="str">
        <f>IFERROR(IF(C29="","",INDEX(CadEqu!$E$7:$F$506,MATCH(tbLancamentos[[#This Row],[Equipamento]],CadEqu!$F$7:$F$506,0),1)),"")</f>
        <v/>
      </c>
      <c r="E29" s="94"/>
      <c r="F29" s="95"/>
      <c r="G29" s="95"/>
      <c r="H29" s="96" t="str">
        <f ca="1">IF(tbLancamentos[Momento da falha]="","",IF(tbLancamentos[Momento do retorno]="",NOW()-tbLancamentos[Momento da falha],tbLancamentos[Momento do retorno]-tbLancamentos[Momento da falha]))</f>
        <v/>
      </c>
      <c r="I29" s="96" t="str">
        <f>IF(tbLancamentos[[#This Row],[Momento da falha]]="","",IFERROR(VLOOKUP(tbLancamentos[[#This Row],[Equipamento]],CadEqu!$F$7:$H$506,3,FALSE),""))</f>
        <v/>
      </c>
      <c r="J29" s="96" t="str">
        <f ca="1">IF(tbLancamentos[Tempo indisponível]="","",IF(tbLancamentos[Tempo indisponível]&lt;=tbLancamentos[Meta tempo reparo],0,tbLancamentos[Tempo indisponível]-tbLancamentos[Meta tempo reparo]))</f>
        <v/>
      </c>
      <c r="K2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9" s="97"/>
      <c r="M29" s="98" t="str">
        <f>IF(tbLancamentos[[#This Row],[Equipamento]]="","",IFERROR(INDEX(CadEqu!$C$7:$F$506,MATCH(tbLancamentos[[#This Row],[Equipamento]],CadEqu!$F$7:$F$506,0),1),""))</f>
        <v/>
      </c>
    </row>
    <row r="30" spans="2:13" x14ac:dyDescent="0.25">
      <c r="B30" s="2">
        <f>COUNTA($B$6:B29)</f>
        <v>24</v>
      </c>
      <c r="C30" s="94"/>
      <c r="D30" s="16" t="str">
        <f>IFERROR(IF(C30="","",INDEX(CadEqu!$E$7:$F$506,MATCH(tbLancamentos[[#This Row],[Equipamento]],CadEqu!$F$7:$F$506,0),1)),"")</f>
        <v/>
      </c>
      <c r="E30" s="94"/>
      <c r="F30" s="95"/>
      <c r="G30" s="95"/>
      <c r="H30" s="96" t="str">
        <f ca="1">IF(tbLancamentos[Momento da falha]="","",IF(tbLancamentos[Momento do retorno]="",NOW()-tbLancamentos[Momento da falha],tbLancamentos[Momento do retorno]-tbLancamentos[Momento da falha]))</f>
        <v/>
      </c>
      <c r="I30" s="96" t="str">
        <f>IF(tbLancamentos[[#This Row],[Momento da falha]]="","",IFERROR(VLOOKUP(tbLancamentos[[#This Row],[Equipamento]],CadEqu!$F$7:$H$506,3,FALSE),""))</f>
        <v/>
      </c>
      <c r="J30" s="96" t="str">
        <f ca="1">IF(tbLancamentos[Tempo indisponível]="","",IF(tbLancamentos[Tempo indisponível]&lt;=tbLancamentos[Meta tempo reparo],0,tbLancamentos[Tempo indisponível]-tbLancamentos[Meta tempo reparo]))</f>
        <v/>
      </c>
      <c r="K3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0" s="97"/>
      <c r="M30" s="98" t="str">
        <f>IF(tbLancamentos[[#This Row],[Equipamento]]="","",IFERROR(INDEX(CadEqu!$C$7:$F$506,MATCH(tbLancamentos[[#This Row],[Equipamento]],CadEqu!$F$7:$F$506,0),1),""))</f>
        <v/>
      </c>
    </row>
    <row r="31" spans="2:13" x14ac:dyDescent="0.25">
      <c r="B31" s="2">
        <f>COUNTA($B$6:B30)</f>
        <v>25</v>
      </c>
      <c r="C31" s="94"/>
      <c r="D31" s="16" t="str">
        <f>IFERROR(IF(C31="","",INDEX(CadEqu!$E$7:$F$506,MATCH(tbLancamentos[[#This Row],[Equipamento]],CadEqu!$F$7:$F$506,0),1)),"")</f>
        <v/>
      </c>
      <c r="E31" s="94"/>
      <c r="F31" s="95"/>
      <c r="G31" s="95"/>
      <c r="H31" s="96" t="str">
        <f ca="1">IF(tbLancamentos[Momento da falha]="","",IF(tbLancamentos[Momento do retorno]="",NOW()-tbLancamentos[Momento da falha],tbLancamentos[Momento do retorno]-tbLancamentos[Momento da falha]))</f>
        <v/>
      </c>
      <c r="I31" s="96" t="str">
        <f>IF(tbLancamentos[[#This Row],[Momento da falha]]="","",IFERROR(VLOOKUP(tbLancamentos[[#This Row],[Equipamento]],CadEqu!$F$7:$H$506,3,FALSE),""))</f>
        <v/>
      </c>
      <c r="J31" s="96" t="str">
        <f ca="1">IF(tbLancamentos[Tempo indisponível]="","",IF(tbLancamentos[Tempo indisponível]&lt;=tbLancamentos[Meta tempo reparo],0,tbLancamentos[Tempo indisponível]-tbLancamentos[Meta tempo reparo]))</f>
        <v/>
      </c>
      <c r="K3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1" s="97"/>
      <c r="M31" s="98" t="str">
        <f>IF(tbLancamentos[[#This Row],[Equipamento]]="","",IFERROR(INDEX(CadEqu!$C$7:$F$506,MATCH(tbLancamentos[[#This Row],[Equipamento]],CadEqu!$F$7:$F$506,0),1),""))</f>
        <v/>
      </c>
    </row>
    <row r="32" spans="2:13" x14ac:dyDescent="0.25">
      <c r="B32" s="2">
        <f>COUNTA($B$6:B31)</f>
        <v>26</v>
      </c>
      <c r="C32" s="94"/>
      <c r="D32" s="16" t="str">
        <f>IFERROR(IF(C32="","",INDEX(CadEqu!$E$7:$F$506,MATCH(tbLancamentos[[#This Row],[Equipamento]],CadEqu!$F$7:$F$506,0),1)),"")</f>
        <v/>
      </c>
      <c r="E32" s="94"/>
      <c r="F32" s="95"/>
      <c r="G32" s="95"/>
      <c r="H32" s="96" t="str">
        <f ca="1">IF(tbLancamentos[Momento da falha]="","",IF(tbLancamentos[Momento do retorno]="",NOW()-tbLancamentos[Momento da falha],tbLancamentos[Momento do retorno]-tbLancamentos[Momento da falha]))</f>
        <v/>
      </c>
      <c r="I32" s="96" t="str">
        <f>IF(tbLancamentos[[#This Row],[Momento da falha]]="","",IFERROR(VLOOKUP(tbLancamentos[[#This Row],[Equipamento]],CadEqu!$F$7:$H$506,3,FALSE),""))</f>
        <v/>
      </c>
      <c r="J32" s="96" t="str">
        <f ca="1">IF(tbLancamentos[Tempo indisponível]="","",IF(tbLancamentos[Tempo indisponível]&lt;=tbLancamentos[Meta tempo reparo],0,tbLancamentos[Tempo indisponível]-tbLancamentos[Meta tempo reparo]))</f>
        <v/>
      </c>
      <c r="K3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2" s="97"/>
      <c r="M32" s="98" t="str">
        <f>IF(tbLancamentos[[#This Row],[Equipamento]]="","",IFERROR(INDEX(CadEqu!$C$7:$F$506,MATCH(tbLancamentos[[#This Row],[Equipamento]],CadEqu!$F$7:$F$506,0),1),""))</f>
        <v/>
      </c>
    </row>
    <row r="33" spans="2:13" x14ac:dyDescent="0.25">
      <c r="B33" s="2">
        <f>COUNTA($B$6:B32)</f>
        <v>27</v>
      </c>
      <c r="C33" s="94"/>
      <c r="D33" s="16" t="str">
        <f>IFERROR(IF(C33="","",INDEX(CadEqu!$E$7:$F$506,MATCH(tbLancamentos[[#This Row],[Equipamento]],CadEqu!$F$7:$F$506,0),1)),"")</f>
        <v/>
      </c>
      <c r="E33" s="94"/>
      <c r="F33" s="95"/>
      <c r="G33" s="95"/>
      <c r="H33" s="96" t="str">
        <f ca="1">IF(tbLancamentos[Momento da falha]="","",IF(tbLancamentos[Momento do retorno]="",NOW()-tbLancamentos[Momento da falha],tbLancamentos[Momento do retorno]-tbLancamentos[Momento da falha]))</f>
        <v/>
      </c>
      <c r="I33" s="96" t="str">
        <f>IF(tbLancamentos[[#This Row],[Momento da falha]]="","",IFERROR(VLOOKUP(tbLancamentos[[#This Row],[Equipamento]],CadEqu!$F$7:$H$506,3,FALSE),""))</f>
        <v/>
      </c>
      <c r="J33" s="96" t="str">
        <f ca="1">IF(tbLancamentos[Tempo indisponível]="","",IF(tbLancamentos[Tempo indisponível]&lt;=tbLancamentos[Meta tempo reparo],0,tbLancamentos[Tempo indisponível]-tbLancamentos[Meta tempo reparo]))</f>
        <v/>
      </c>
      <c r="K3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3" s="97"/>
      <c r="M33" s="98" t="str">
        <f>IF(tbLancamentos[[#This Row],[Equipamento]]="","",IFERROR(INDEX(CadEqu!$C$7:$F$506,MATCH(tbLancamentos[[#This Row],[Equipamento]],CadEqu!$F$7:$F$506,0),1),""))</f>
        <v/>
      </c>
    </row>
    <row r="34" spans="2:13" x14ac:dyDescent="0.25">
      <c r="B34" s="2">
        <f>COUNTA($B$6:B33)</f>
        <v>28</v>
      </c>
      <c r="C34" s="94"/>
      <c r="D34" s="16" t="str">
        <f>IFERROR(IF(C34="","",INDEX(CadEqu!$E$7:$F$506,MATCH(tbLancamentos[[#This Row],[Equipamento]],CadEqu!$F$7:$F$506,0),1)),"")</f>
        <v/>
      </c>
      <c r="E34" s="94"/>
      <c r="F34" s="95"/>
      <c r="G34" s="95"/>
      <c r="H34" s="96" t="str">
        <f ca="1">IF(tbLancamentos[Momento da falha]="","",IF(tbLancamentos[Momento do retorno]="",NOW()-tbLancamentos[Momento da falha],tbLancamentos[Momento do retorno]-tbLancamentos[Momento da falha]))</f>
        <v/>
      </c>
      <c r="I34" s="96" t="str">
        <f>IF(tbLancamentos[[#This Row],[Momento da falha]]="","",IFERROR(VLOOKUP(tbLancamentos[[#This Row],[Equipamento]],CadEqu!$F$7:$H$506,3,FALSE),""))</f>
        <v/>
      </c>
      <c r="J34" s="96" t="str">
        <f ca="1">IF(tbLancamentos[Tempo indisponível]="","",IF(tbLancamentos[Tempo indisponível]&lt;=tbLancamentos[Meta tempo reparo],0,tbLancamentos[Tempo indisponível]-tbLancamentos[Meta tempo reparo]))</f>
        <v/>
      </c>
      <c r="K3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4" s="97"/>
      <c r="M34" s="98" t="str">
        <f>IF(tbLancamentos[[#This Row],[Equipamento]]="","",IFERROR(INDEX(CadEqu!$C$7:$F$506,MATCH(tbLancamentos[[#This Row],[Equipamento]],CadEqu!$F$7:$F$506,0),1),""))</f>
        <v/>
      </c>
    </row>
    <row r="35" spans="2:13" x14ac:dyDescent="0.25">
      <c r="B35" s="2">
        <f>COUNTA($B$6:B34)</f>
        <v>29</v>
      </c>
      <c r="C35" s="94"/>
      <c r="D35" s="16" t="str">
        <f>IFERROR(IF(C35="","",INDEX(CadEqu!$E$7:$F$506,MATCH(tbLancamentos[[#This Row],[Equipamento]],CadEqu!$F$7:$F$506,0),1)),"")</f>
        <v/>
      </c>
      <c r="E35" s="94"/>
      <c r="F35" s="95"/>
      <c r="G35" s="95"/>
      <c r="H35" s="96" t="str">
        <f ca="1">IF(tbLancamentos[Momento da falha]="","",IF(tbLancamentos[Momento do retorno]="",NOW()-tbLancamentos[Momento da falha],tbLancamentos[Momento do retorno]-tbLancamentos[Momento da falha]))</f>
        <v/>
      </c>
      <c r="I35" s="96" t="str">
        <f>IF(tbLancamentos[[#This Row],[Momento da falha]]="","",IFERROR(VLOOKUP(tbLancamentos[[#This Row],[Equipamento]],CadEqu!$F$7:$H$506,3,FALSE),""))</f>
        <v/>
      </c>
      <c r="J35" s="96" t="str">
        <f ca="1">IF(tbLancamentos[Tempo indisponível]="","",IF(tbLancamentos[Tempo indisponível]&lt;=tbLancamentos[Meta tempo reparo],0,tbLancamentos[Tempo indisponível]-tbLancamentos[Meta tempo reparo]))</f>
        <v/>
      </c>
      <c r="K3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5" s="97"/>
      <c r="M35" s="98" t="str">
        <f>IF(tbLancamentos[[#This Row],[Equipamento]]="","",IFERROR(INDEX(CadEqu!$C$7:$F$506,MATCH(tbLancamentos[[#This Row],[Equipamento]],CadEqu!$F$7:$F$506,0),1),""))</f>
        <v/>
      </c>
    </row>
    <row r="36" spans="2:13" x14ac:dyDescent="0.25">
      <c r="B36" s="2">
        <f>COUNTA($B$6:B35)</f>
        <v>30</v>
      </c>
      <c r="C36" s="94"/>
      <c r="D36" s="16" t="str">
        <f>IFERROR(IF(C36="","",INDEX(CadEqu!$E$7:$F$506,MATCH(tbLancamentos[[#This Row],[Equipamento]],CadEqu!$F$7:$F$506,0),1)),"")</f>
        <v/>
      </c>
      <c r="E36" s="94"/>
      <c r="F36" s="95"/>
      <c r="G36" s="95"/>
      <c r="H36" s="96" t="str">
        <f ca="1">IF(tbLancamentos[Momento da falha]="","",IF(tbLancamentos[Momento do retorno]="",NOW()-tbLancamentos[Momento da falha],tbLancamentos[Momento do retorno]-tbLancamentos[Momento da falha]))</f>
        <v/>
      </c>
      <c r="I36" s="96" t="str">
        <f>IF(tbLancamentos[[#This Row],[Momento da falha]]="","",IFERROR(VLOOKUP(tbLancamentos[[#This Row],[Equipamento]],CadEqu!$F$7:$H$506,3,FALSE),""))</f>
        <v/>
      </c>
      <c r="J36" s="96" t="str">
        <f ca="1">IF(tbLancamentos[Tempo indisponível]="","",IF(tbLancamentos[Tempo indisponível]&lt;=tbLancamentos[Meta tempo reparo],0,tbLancamentos[Tempo indisponível]-tbLancamentos[Meta tempo reparo]))</f>
        <v/>
      </c>
      <c r="K3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6" s="97"/>
      <c r="M36" s="98" t="str">
        <f>IF(tbLancamentos[[#This Row],[Equipamento]]="","",IFERROR(INDEX(CadEqu!$C$7:$F$506,MATCH(tbLancamentos[[#This Row],[Equipamento]],CadEqu!$F$7:$F$506,0),1),""))</f>
        <v/>
      </c>
    </row>
    <row r="37" spans="2:13" x14ac:dyDescent="0.25">
      <c r="B37" s="2">
        <f>COUNTA($B$6:B36)</f>
        <v>31</v>
      </c>
      <c r="C37" s="94"/>
      <c r="D37" s="16" t="str">
        <f>IFERROR(IF(C37="","",INDEX(CadEqu!$E$7:$F$506,MATCH(tbLancamentos[[#This Row],[Equipamento]],CadEqu!$F$7:$F$506,0),1)),"")</f>
        <v/>
      </c>
      <c r="E37" s="94"/>
      <c r="F37" s="95"/>
      <c r="G37" s="95"/>
      <c r="H37" s="96" t="str">
        <f ca="1">IF(tbLancamentos[Momento da falha]="","",IF(tbLancamentos[Momento do retorno]="",NOW()-tbLancamentos[Momento da falha],tbLancamentos[Momento do retorno]-tbLancamentos[Momento da falha]))</f>
        <v/>
      </c>
      <c r="I37" s="96" t="str">
        <f>IF(tbLancamentos[[#This Row],[Momento da falha]]="","",IFERROR(VLOOKUP(tbLancamentos[[#This Row],[Equipamento]],CadEqu!$F$7:$H$506,3,FALSE),""))</f>
        <v/>
      </c>
      <c r="J37" s="96" t="str">
        <f ca="1">IF(tbLancamentos[Tempo indisponível]="","",IF(tbLancamentos[Tempo indisponível]&lt;=tbLancamentos[Meta tempo reparo],0,tbLancamentos[Tempo indisponível]-tbLancamentos[Meta tempo reparo]))</f>
        <v/>
      </c>
      <c r="K3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7" s="97"/>
      <c r="M37" s="98" t="str">
        <f>IF(tbLancamentos[[#This Row],[Equipamento]]="","",IFERROR(INDEX(CadEqu!$C$7:$F$506,MATCH(tbLancamentos[[#This Row],[Equipamento]],CadEqu!$F$7:$F$506,0),1),""))</f>
        <v/>
      </c>
    </row>
    <row r="38" spans="2:13" x14ac:dyDescent="0.25">
      <c r="B38" s="2">
        <f>COUNTA($B$6:B37)</f>
        <v>32</v>
      </c>
      <c r="C38" s="94"/>
      <c r="D38" s="16" t="str">
        <f>IFERROR(IF(C38="","",INDEX(CadEqu!$E$7:$F$506,MATCH(tbLancamentos[[#This Row],[Equipamento]],CadEqu!$F$7:$F$506,0),1)),"")</f>
        <v/>
      </c>
      <c r="E38" s="94"/>
      <c r="F38" s="95"/>
      <c r="G38" s="95"/>
      <c r="H38" s="96" t="str">
        <f ca="1">IF(tbLancamentos[Momento da falha]="","",IF(tbLancamentos[Momento do retorno]="",NOW()-tbLancamentos[Momento da falha],tbLancamentos[Momento do retorno]-tbLancamentos[Momento da falha]))</f>
        <v/>
      </c>
      <c r="I38" s="96" t="str">
        <f>IF(tbLancamentos[[#This Row],[Momento da falha]]="","",IFERROR(VLOOKUP(tbLancamentos[[#This Row],[Equipamento]],CadEqu!$F$7:$H$506,3,FALSE),""))</f>
        <v/>
      </c>
      <c r="J38" s="96" t="str">
        <f ca="1">IF(tbLancamentos[Tempo indisponível]="","",IF(tbLancamentos[Tempo indisponível]&lt;=tbLancamentos[Meta tempo reparo],0,tbLancamentos[Tempo indisponível]-tbLancamentos[Meta tempo reparo]))</f>
        <v/>
      </c>
      <c r="K3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8" s="97"/>
      <c r="M38" s="98" t="str">
        <f>IF(tbLancamentos[[#This Row],[Equipamento]]="","",IFERROR(INDEX(CadEqu!$C$7:$F$506,MATCH(tbLancamentos[[#This Row],[Equipamento]],CadEqu!$F$7:$F$506,0),1),""))</f>
        <v/>
      </c>
    </row>
    <row r="39" spans="2:13" x14ac:dyDescent="0.25">
      <c r="B39" s="2">
        <f>COUNTA($B$6:B38)</f>
        <v>33</v>
      </c>
      <c r="C39" s="94"/>
      <c r="D39" s="16" t="str">
        <f>IFERROR(IF(C39="","",INDEX(CadEqu!$E$7:$F$506,MATCH(tbLancamentos[[#This Row],[Equipamento]],CadEqu!$F$7:$F$506,0),1)),"")</f>
        <v/>
      </c>
      <c r="E39" s="94"/>
      <c r="F39" s="95"/>
      <c r="G39" s="95"/>
      <c r="H39" s="96" t="str">
        <f ca="1">IF(tbLancamentos[Momento da falha]="","",IF(tbLancamentos[Momento do retorno]="",NOW()-tbLancamentos[Momento da falha],tbLancamentos[Momento do retorno]-tbLancamentos[Momento da falha]))</f>
        <v/>
      </c>
      <c r="I39" s="96" t="str">
        <f>IF(tbLancamentos[[#This Row],[Momento da falha]]="","",IFERROR(VLOOKUP(tbLancamentos[[#This Row],[Equipamento]],CadEqu!$F$7:$H$506,3,FALSE),""))</f>
        <v/>
      </c>
      <c r="J39" s="96" t="str">
        <f ca="1">IF(tbLancamentos[Tempo indisponível]="","",IF(tbLancamentos[Tempo indisponível]&lt;=tbLancamentos[Meta tempo reparo],0,tbLancamentos[Tempo indisponível]-tbLancamentos[Meta tempo reparo]))</f>
        <v/>
      </c>
      <c r="K3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39" s="97"/>
      <c r="M39" s="98" t="str">
        <f>IF(tbLancamentos[[#This Row],[Equipamento]]="","",IFERROR(INDEX(CadEqu!$C$7:$F$506,MATCH(tbLancamentos[[#This Row],[Equipamento]],CadEqu!$F$7:$F$506,0),1),""))</f>
        <v/>
      </c>
    </row>
    <row r="40" spans="2:13" x14ac:dyDescent="0.25">
      <c r="B40" s="2">
        <f>COUNTA($B$6:B39)</f>
        <v>34</v>
      </c>
      <c r="C40" s="94"/>
      <c r="D40" s="16" t="str">
        <f>IFERROR(IF(C40="","",INDEX(CadEqu!$E$7:$F$506,MATCH(tbLancamentos[[#This Row],[Equipamento]],CadEqu!$F$7:$F$506,0),1)),"")</f>
        <v/>
      </c>
      <c r="E40" s="94"/>
      <c r="F40" s="95"/>
      <c r="G40" s="95"/>
      <c r="H40" s="96" t="str">
        <f ca="1">IF(tbLancamentos[Momento da falha]="","",IF(tbLancamentos[Momento do retorno]="",NOW()-tbLancamentos[Momento da falha],tbLancamentos[Momento do retorno]-tbLancamentos[Momento da falha]))</f>
        <v/>
      </c>
      <c r="I40" s="96" t="str">
        <f>IF(tbLancamentos[[#This Row],[Momento da falha]]="","",IFERROR(VLOOKUP(tbLancamentos[[#This Row],[Equipamento]],CadEqu!$F$7:$H$506,3,FALSE),""))</f>
        <v/>
      </c>
      <c r="J40" s="96" t="str">
        <f ca="1">IF(tbLancamentos[Tempo indisponível]="","",IF(tbLancamentos[Tempo indisponível]&lt;=tbLancamentos[Meta tempo reparo],0,tbLancamentos[Tempo indisponível]-tbLancamentos[Meta tempo reparo]))</f>
        <v/>
      </c>
      <c r="K4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0" s="97"/>
      <c r="M40" s="98" t="str">
        <f>IF(tbLancamentos[[#This Row],[Equipamento]]="","",IFERROR(INDEX(CadEqu!$C$7:$F$506,MATCH(tbLancamentos[[#This Row],[Equipamento]],CadEqu!$F$7:$F$506,0),1),""))</f>
        <v/>
      </c>
    </row>
    <row r="41" spans="2:13" x14ac:dyDescent="0.25">
      <c r="B41" s="2">
        <f>COUNTA($B$6:B40)</f>
        <v>35</v>
      </c>
      <c r="C41" s="94"/>
      <c r="D41" s="16" t="str">
        <f>IFERROR(IF(C41="","",INDEX(CadEqu!$E$7:$F$506,MATCH(tbLancamentos[[#This Row],[Equipamento]],CadEqu!$F$7:$F$506,0),1)),"")</f>
        <v/>
      </c>
      <c r="E41" s="94"/>
      <c r="F41" s="95"/>
      <c r="G41" s="95"/>
      <c r="H41" s="96" t="str">
        <f ca="1">IF(tbLancamentos[Momento da falha]="","",IF(tbLancamentos[Momento do retorno]="",NOW()-tbLancamentos[Momento da falha],tbLancamentos[Momento do retorno]-tbLancamentos[Momento da falha]))</f>
        <v/>
      </c>
      <c r="I41" s="96" t="str">
        <f>IF(tbLancamentos[[#This Row],[Momento da falha]]="","",IFERROR(VLOOKUP(tbLancamentos[[#This Row],[Equipamento]],CadEqu!$F$7:$H$506,3,FALSE),""))</f>
        <v/>
      </c>
      <c r="J41" s="96" t="str">
        <f ca="1">IF(tbLancamentos[Tempo indisponível]="","",IF(tbLancamentos[Tempo indisponível]&lt;=tbLancamentos[Meta tempo reparo],0,tbLancamentos[Tempo indisponível]-tbLancamentos[Meta tempo reparo]))</f>
        <v/>
      </c>
      <c r="K4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1" s="97"/>
      <c r="M41" s="98" t="str">
        <f>IF(tbLancamentos[[#This Row],[Equipamento]]="","",IFERROR(INDEX(CadEqu!$C$7:$F$506,MATCH(tbLancamentos[[#This Row],[Equipamento]],CadEqu!$F$7:$F$506,0),1),""))</f>
        <v/>
      </c>
    </row>
    <row r="42" spans="2:13" x14ac:dyDescent="0.25">
      <c r="B42" s="2">
        <f>COUNTA($B$6:B41)</f>
        <v>36</v>
      </c>
      <c r="C42" s="94"/>
      <c r="D42" s="16" t="str">
        <f>IFERROR(IF(C42="","",INDEX(CadEqu!$E$7:$F$506,MATCH(tbLancamentos[[#This Row],[Equipamento]],CadEqu!$F$7:$F$506,0),1)),"")</f>
        <v/>
      </c>
      <c r="E42" s="94"/>
      <c r="F42" s="95"/>
      <c r="G42" s="95"/>
      <c r="H42" s="96" t="str">
        <f ca="1">IF(tbLancamentos[Momento da falha]="","",IF(tbLancamentos[Momento do retorno]="",NOW()-tbLancamentos[Momento da falha],tbLancamentos[Momento do retorno]-tbLancamentos[Momento da falha]))</f>
        <v/>
      </c>
      <c r="I42" s="96" t="str">
        <f>IF(tbLancamentos[[#This Row],[Momento da falha]]="","",IFERROR(VLOOKUP(tbLancamentos[[#This Row],[Equipamento]],CadEqu!$F$7:$H$506,3,FALSE),""))</f>
        <v/>
      </c>
      <c r="J42" s="96" t="str">
        <f ca="1">IF(tbLancamentos[Tempo indisponível]="","",IF(tbLancamentos[Tempo indisponível]&lt;=tbLancamentos[Meta tempo reparo],0,tbLancamentos[Tempo indisponível]-tbLancamentos[Meta tempo reparo]))</f>
        <v/>
      </c>
      <c r="K4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2" s="97"/>
      <c r="M42" s="98" t="str">
        <f>IF(tbLancamentos[[#This Row],[Equipamento]]="","",IFERROR(INDEX(CadEqu!$C$7:$F$506,MATCH(tbLancamentos[[#This Row],[Equipamento]],CadEqu!$F$7:$F$506,0),1),""))</f>
        <v/>
      </c>
    </row>
    <row r="43" spans="2:13" x14ac:dyDescent="0.25">
      <c r="B43" s="2">
        <f>COUNTA($B$6:B42)</f>
        <v>37</v>
      </c>
      <c r="C43" s="94"/>
      <c r="D43" s="16" t="str">
        <f>IFERROR(IF(C43="","",INDEX(CadEqu!$E$7:$F$506,MATCH(tbLancamentos[[#This Row],[Equipamento]],CadEqu!$F$7:$F$506,0),1)),"")</f>
        <v/>
      </c>
      <c r="E43" s="94"/>
      <c r="F43" s="95"/>
      <c r="G43" s="95"/>
      <c r="H43" s="96" t="str">
        <f ca="1">IF(tbLancamentos[Momento da falha]="","",IF(tbLancamentos[Momento do retorno]="",NOW()-tbLancamentos[Momento da falha],tbLancamentos[Momento do retorno]-tbLancamentos[Momento da falha]))</f>
        <v/>
      </c>
      <c r="I43" s="96" t="str">
        <f>IF(tbLancamentos[[#This Row],[Momento da falha]]="","",IFERROR(VLOOKUP(tbLancamentos[[#This Row],[Equipamento]],CadEqu!$F$7:$H$506,3,FALSE),""))</f>
        <v/>
      </c>
      <c r="J43" s="96" t="str">
        <f ca="1">IF(tbLancamentos[Tempo indisponível]="","",IF(tbLancamentos[Tempo indisponível]&lt;=tbLancamentos[Meta tempo reparo],0,tbLancamentos[Tempo indisponível]-tbLancamentos[Meta tempo reparo]))</f>
        <v/>
      </c>
      <c r="K4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3" s="97"/>
      <c r="M43" s="98" t="str">
        <f>IF(tbLancamentos[[#This Row],[Equipamento]]="","",IFERROR(INDEX(CadEqu!$C$7:$F$506,MATCH(tbLancamentos[[#This Row],[Equipamento]],CadEqu!$F$7:$F$506,0),1),""))</f>
        <v/>
      </c>
    </row>
    <row r="44" spans="2:13" x14ac:dyDescent="0.25">
      <c r="B44" s="2">
        <f>COUNTA($B$6:B43)</f>
        <v>38</v>
      </c>
      <c r="C44" s="94"/>
      <c r="D44" s="16" t="str">
        <f>IFERROR(IF(C44="","",INDEX(CadEqu!$E$7:$F$506,MATCH(tbLancamentos[[#This Row],[Equipamento]],CadEqu!$F$7:$F$506,0),1)),"")</f>
        <v/>
      </c>
      <c r="E44" s="94"/>
      <c r="F44" s="95"/>
      <c r="G44" s="95"/>
      <c r="H44" s="96" t="str">
        <f ca="1">IF(tbLancamentos[Momento da falha]="","",IF(tbLancamentos[Momento do retorno]="",NOW()-tbLancamentos[Momento da falha],tbLancamentos[Momento do retorno]-tbLancamentos[Momento da falha]))</f>
        <v/>
      </c>
      <c r="I44" s="96" t="str">
        <f>IF(tbLancamentos[[#This Row],[Momento da falha]]="","",IFERROR(VLOOKUP(tbLancamentos[[#This Row],[Equipamento]],CadEqu!$F$7:$H$506,3,FALSE),""))</f>
        <v/>
      </c>
      <c r="J44" s="96" t="str">
        <f ca="1">IF(tbLancamentos[Tempo indisponível]="","",IF(tbLancamentos[Tempo indisponível]&lt;=tbLancamentos[Meta tempo reparo],0,tbLancamentos[Tempo indisponível]-tbLancamentos[Meta tempo reparo]))</f>
        <v/>
      </c>
      <c r="K4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4" s="97"/>
      <c r="M44" s="98" t="str">
        <f>IF(tbLancamentos[[#This Row],[Equipamento]]="","",IFERROR(INDEX(CadEqu!$C$7:$F$506,MATCH(tbLancamentos[[#This Row],[Equipamento]],CadEqu!$F$7:$F$506,0),1),""))</f>
        <v/>
      </c>
    </row>
    <row r="45" spans="2:13" x14ac:dyDescent="0.25">
      <c r="B45" s="2">
        <f>COUNTA($B$6:B44)</f>
        <v>39</v>
      </c>
      <c r="C45" s="94"/>
      <c r="D45" s="16" t="str">
        <f>IFERROR(IF(C45="","",INDEX(CadEqu!$E$7:$F$506,MATCH(tbLancamentos[[#This Row],[Equipamento]],CadEqu!$F$7:$F$506,0),1)),"")</f>
        <v/>
      </c>
      <c r="E45" s="94"/>
      <c r="F45" s="95"/>
      <c r="G45" s="95"/>
      <c r="H45" s="96" t="str">
        <f ca="1">IF(tbLancamentos[Momento da falha]="","",IF(tbLancamentos[Momento do retorno]="",NOW()-tbLancamentos[Momento da falha],tbLancamentos[Momento do retorno]-tbLancamentos[Momento da falha]))</f>
        <v/>
      </c>
      <c r="I45" s="96" t="str">
        <f>IF(tbLancamentos[[#This Row],[Momento da falha]]="","",IFERROR(VLOOKUP(tbLancamentos[[#This Row],[Equipamento]],CadEqu!$F$7:$H$506,3,FALSE),""))</f>
        <v/>
      </c>
      <c r="J45" s="96" t="str">
        <f ca="1">IF(tbLancamentos[Tempo indisponível]="","",IF(tbLancamentos[Tempo indisponível]&lt;=tbLancamentos[Meta tempo reparo],0,tbLancamentos[Tempo indisponível]-tbLancamentos[Meta tempo reparo]))</f>
        <v/>
      </c>
      <c r="K4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5" s="97"/>
      <c r="M45" s="98" t="str">
        <f>IF(tbLancamentos[[#This Row],[Equipamento]]="","",IFERROR(INDEX(CadEqu!$C$7:$F$506,MATCH(tbLancamentos[[#This Row],[Equipamento]],CadEqu!$F$7:$F$506,0),1),""))</f>
        <v/>
      </c>
    </row>
    <row r="46" spans="2:13" x14ac:dyDescent="0.25">
      <c r="B46" s="2">
        <f>COUNTA($B$6:B45)</f>
        <v>40</v>
      </c>
      <c r="C46" s="94"/>
      <c r="D46" s="16" t="str">
        <f>IFERROR(IF(C46="","",INDEX(CadEqu!$E$7:$F$506,MATCH(tbLancamentos[[#This Row],[Equipamento]],CadEqu!$F$7:$F$506,0),1)),"")</f>
        <v/>
      </c>
      <c r="E46" s="94"/>
      <c r="F46" s="95"/>
      <c r="G46" s="95"/>
      <c r="H46" s="96" t="str">
        <f ca="1">IF(tbLancamentos[Momento da falha]="","",IF(tbLancamentos[Momento do retorno]="",NOW()-tbLancamentos[Momento da falha],tbLancamentos[Momento do retorno]-tbLancamentos[Momento da falha]))</f>
        <v/>
      </c>
      <c r="I46" s="96" t="str">
        <f>IF(tbLancamentos[[#This Row],[Momento da falha]]="","",IFERROR(VLOOKUP(tbLancamentos[[#This Row],[Equipamento]],CadEqu!$F$7:$H$506,3,FALSE),""))</f>
        <v/>
      </c>
      <c r="J46" s="96" t="str">
        <f ca="1">IF(tbLancamentos[Tempo indisponível]="","",IF(tbLancamentos[Tempo indisponível]&lt;=tbLancamentos[Meta tempo reparo],0,tbLancamentos[Tempo indisponível]-tbLancamentos[Meta tempo reparo]))</f>
        <v/>
      </c>
      <c r="K4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6" s="97"/>
      <c r="M46" s="98" t="str">
        <f>IF(tbLancamentos[[#This Row],[Equipamento]]="","",IFERROR(INDEX(CadEqu!$C$7:$F$506,MATCH(tbLancamentos[[#This Row],[Equipamento]],CadEqu!$F$7:$F$506,0),1),""))</f>
        <v/>
      </c>
    </row>
    <row r="47" spans="2:13" x14ac:dyDescent="0.25">
      <c r="B47" s="2">
        <f>COUNTA($B$6:B46)</f>
        <v>41</v>
      </c>
      <c r="C47" s="94"/>
      <c r="D47" s="16" t="str">
        <f>IFERROR(IF(C47="","",INDEX(CadEqu!$E$7:$F$506,MATCH(tbLancamentos[[#This Row],[Equipamento]],CadEqu!$F$7:$F$506,0),1)),"")</f>
        <v/>
      </c>
      <c r="E47" s="94"/>
      <c r="F47" s="95"/>
      <c r="G47" s="95"/>
      <c r="H47" s="96" t="str">
        <f ca="1">IF(tbLancamentos[Momento da falha]="","",IF(tbLancamentos[Momento do retorno]="",NOW()-tbLancamentos[Momento da falha],tbLancamentos[Momento do retorno]-tbLancamentos[Momento da falha]))</f>
        <v/>
      </c>
      <c r="I47" s="96" t="str">
        <f>IF(tbLancamentos[[#This Row],[Momento da falha]]="","",IFERROR(VLOOKUP(tbLancamentos[[#This Row],[Equipamento]],CadEqu!$F$7:$H$506,3,FALSE),""))</f>
        <v/>
      </c>
      <c r="J47" s="96" t="str">
        <f ca="1">IF(tbLancamentos[Tempo indisponível]="","",IF(tbLancamentos[Tempo indisponível]&lt;=tbLancamentos[Meta tempo reparo],0,tbLancamentos[Tempo indisponível]-tbLancamentos[Meta tempo reparo]))</f>
        <v/>
      </c>
      <c r="K4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7" s="97"/>
      <c r="M47" s="98" t="str">
        <f>IF(tbLancamentos[[#This Row],[Equipamento]]="","",IFERROR(INDEX(CadEqu!$C$7:$F$506,MATCH(tbLancamentos[[#This Row],[Equipamento]],CadEqu!$F$7:$F$506,0),1),""))</f>
        <v/>
      </c>
    </row>
    <row r="48" spans="2:13" x14ac:dyDescent="0.25">
      <c r="B48" s="2">
        <f>COUNTA($B$6:B47)</f>
        <v>42</v>
      </c>
      <c r="C48" s="94"/>
      <c r="D48" s="16" t="str">
        <f>IFERROR(IF(C48="","",INDEX(CadEqu!$E$7:$F$506,MATCH(tbLancamentos[[#This Row],[Equipamento]],CadEqu!$F$7:$F$506,0),1)),"")</f>
        <v/>
      </c>
      <c r="E48" s="94"/>
      <c r="F48" s="95"/>
      <c r="G48" s="95"/>
      <c r="H48" s="96" t="str">
        <f ca="1">IF(tbLancamentos[Momento da falha]="","",IF(tbLancamentos[Momento do retorno]="",NOW()-tbLancamentos[Momento da falha],tbLancamentos[Momento do retorno]-tbLancamentos[Momento da falha]))</f>
        <v/>
      </c>
      <c r="I48" s="96" t="str">
        <f>IF(tbLancamentos[[#This Row],[Momento da falha]]="","",IFERROR(VLOOKUP(tbLancamentos[[#This Row],[Equipamento]],CadEqu!$F$7:$H$506,3,FALSE),""))</f>
        <v/>
      </c>
      <c r="J48" s="96" t="str">
        <f ca="1">IF(tbLancamentos[Tempo indisponível]="","",IF(tbLancamentos[Tempo indisponível]&lt;=tbLancamentos[Meta tempo reparo],0,tbLancamentos[Tempo indisponível]-tbLancamentos[Meta tempo reparo]))</f>
        <v/>
      </c>
      <c r="K4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8" s="97"/>
      <c r="M48" s="98" t="str">
        <f>IF(tbLancamentos[[#This Row],[Equipamento]]="","",IFERROR(INDEX(CadEqu!$C$7:$F$506,MATCH(tbLancamentos[[#This Row],[Equipamento]],CadEqu!$F$7:$F$506,0),1),""))</f>
        <v/>
      </c>
    </row>
    <row r="49" spans="2:13" x14ac:dyDescent="0.25">
      <c r="B49" s="2">
        <f>COUNTA($B$6:B48)</f>
        <v>43</v>
      </c>
      <c r="C49" s="94"/>
      <c r="D49" s="16" t="str">
        <f>IFERROR(IF(C49="","",INDEX(CadEqu!$E$7:$F$506,MATCH(tbLancamentos[[#This Row],[Equipamento]],CadEqu!$F$7:$F$506,0),1)),"")</f>
        <v/>
      </c>
      <c r="E49" s="94"/>
      <c r="F49" s="95"/>
      <c r="G49" s="95"/>
      <c r="H49" s="96" t="str">
        <f ca="1">IF(tbLancamentos[Momento da falha]="","",IF(tbLancamentos[Momento do retorno]="",NOW()-tbLancamentos[Momento da falha],tbLancamentos[Momento do retorno]-tbLancamentos[Momento da falha]))</f>
        <v/>
      </c>
      <c r="I49" s="96" t="str">
        <f>IF(tbLancamentos[[#This Row],[Momento da falha]]="","",IFERROR(VLOOKUP(tbLancamentos[[#This Row],[Equipamento]],CadEqu!$F$7:$H$506,3,FALSE),""))</f>
        <v/>
      </c>
      <c r="J49" s="96" t="str">
        <f ca="1">IF(tbLancamentos[Tempo indisponível]="","",IF(tbLancamentos[Tempo indisponível]&lt;=tbLancamentos[Meta tempo reparo],0,tbLancamentos[Tempo indisponível]-tbLancamentos[Meta tempo reparo]))</f>
        <v/>
      </c>
      <c r="K4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49" s="97"/>
      <c r="M49" s="98" t="str">
        <f>IF(tbLancamentos[[#This Row],[Equipamento]]="","",IFERROR(INDEX(CadEqu!$C$7:$F$506,MATCH(tbLancamentos[[#This Row],[Equipamento]],CadEqu!$F$7:$F$506,0),1),""))</f>
        <v/>
      </c>
    </row>
    <row r="50" spans="2:13" x14ac:dyDescent="0.25">
      <c r="B50" s="2">
        <f>COUNTA($B$6:B49)</f>
        <v>44</v>
      </c>
      <c r="C50" s="94"/>
      <c r="D50" s="16" t="str">
        <f>IFERROR(IF(C50="","",INDEX(CadEqu!$E$7:$F$506,MATCH(tbLancamentos[[#This Row],[Equipamento]],CadEqu!$F$7:$F$506,0),1)),"")</f>
        <v/>
      </c>
      <c r="E50" s="94"/>
      <c r="F50" s="95"/>
      <c r="G50" s="95"/>
      <c r="H50" s="96" t="str">
        <f ca="1">IF(tbLancamentos[Momento da falha]="","",IF(tbLancamentos[Momento do retorno]="",NOW()-tbLancamentos[Momento da falha],tbLancamentos[Momento do retorno]-tbLancamentos[Momento da falha]))</f>
        <v/>
      </c>
      <c r="I50" s="96" t="str">
        <f>IF(tbLancamentos[[#This Row],[Momento da falha]]="","",IFERROR(VLOOKUP(tbLancamentos[[#This Row],[Equipamento]],CadEqu!$F$7:$H$506,3,FALSE),""))</f>
        <v/>
      </c>
      <c r="J50" s="96" t="str">
        <f ca="1">IF(tbLancamentos[Tempo indisponível]="","",IF(tbLancamentos[Tempo indisponível]&lt;=tbLancamentos[Meta tempo reparo],0,tbLancamentos[Tempo indisponível]-tbLancamentos[Meta tempo reparo]))</f>
        <v/>
      </c>
      <c r="K5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0" s="97"/>
      <c r="M50" s="98" t="str">
        <f>IF(tbLancamentos[[#This Row],[Equipamento]]="","",IFERROR(INDEX(CadEqu!$C$7:$F$506,MATCH(tbLancamentos[[#This Row],[Equipamento]],CadEqu!$F$7:$F$506,0),1),""))</f>
        <v/>
      </c>
    </row>
    <row r="51" spans="2:13" x14ac:dyDescent="0.25">
      <c r="B51" s="2">
        <f>COUNTA($B$6:B50)</f>
        <v>45</v>
      </c>
      <c r="C51" s="94"/>
      <c r="D51" s="16" t="str">
        <f>IFERROR(IF(C51="","",INDEX(CadEqu!$E$7:$F$506,MATCH(tbLancamentos[[#This Row],[Equipamento]],CadEqu!$F$7:$F$506,0),1)),"")</f>
        <v/>
      </c>
      <c r="E51" s="94"/>
      <c r="F51" s="95"/>
      <c r="G51" s="95"/>
      <c r="H51" s="96" t="str">
        <f ca="1">IF(tbLancamentos[Momento da falha]="","",IF(tbLancamentos[Momento do retorno]="",NOW()-tbLancamentos[Momento da falha],tbLancamentos[Momento do retorno]-tbLancamentos[Momento da falha]))</f>
        <v/>
      </c>
      <c r="I51" s="96" t="str">
        <f>IF(tbLancamentos[[#This Row],[Momento da falha]]="","",IFERROR(VLOOKUP(tbLancamentos[[#This Row],[Equipamento]],CadEqu!$F$7:$H$506,3,FALSE),""))</f>
        <v/>
      </c>
      <c r="J51" s="96" t="str">
        <f ca="1">IF(tbLancamentos[Tempo indisponível]="","",IF(tbLancamentos[Tempo indisponível]&lt;=tbLancamentos[Meta tempo reparo],0,tbLancamentos[Tempo indisponível]-tbLancamentos[Meta tempo reparo]))</f>
        <v/>
      </c>
      <c r="K5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1" s="97"/>
      <c r="M51" s="98" t="str">
        <f>IF(tbLancamentos[[#This Row],[Equipamento]]="","",IFERROR(INDEX(CadEqu!$C$7:$F$506,MATCH(tbLancamentos[[#This Row],[Equipamento]],CadEqu!$F$7:$F$506,0),1),""))</f>
        <v/>
      </c>
    </row>
    <row r="52" spans="2:13" x14ac:dyDescent="0.25">
      <c r="B52" s="2">
        <f>COUNTA($B$6:B51)</f>
        <v>46</v>
      </c>
      <c r="C52" s="94"/>
      <c r="D52" s="16" t="str">
        <f>IFERROR(IF(C52="","",INDEX(CadEqu!$E$7:$F$506,MATCH(tbLancamentos[[#This Row],[Equipamento]],CadEqu!$F$7:$F$506,0),1)),"")</f>
        <v/>
      </c>
      <c r="E52" s="94"/>
      <c r="F52" s="95"/>
      <c r="G52" s="95"/>
      <c r="H52" s="96" t="str">
        <f ca="1">IF(tbLancamentos[Momento da falha]="","",IF(tbLancamentos[Momento do retorno]="",NOW()-tbLancamentos[Momento da falha],tbLancamentos[Momento do retorno]-tbLancamentos[Momento da falha]))</f>
        <v/>
      </c>
      <c r="I52" s="96" t="str">
        <f>IF(tbLancamentos[[#This Row],[Momento da falha]]="","",IFERROR(VLOOKUP(tbLancamentos[[#This Row],[Equipamento]],CadEqu!$F$7:$H$506,3,FALSE),""))</f>
        <v/>
      </c>
      <c r="J52" s="96" t="str">
        <f ca="1">IF(tbLancamentos[Tempo indisponível]="","",IF(tbLancamentos[Tempo indisponível]&lt;=tbLancamentos[Meta tempo reparo],0,tbLancamentos[Tempo indisponível]-tbLancamentos[Meta tempo reparo]))</f>
        <v/>
      </c>
      <c r="K5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2" s="97"/>
      <c r="M52" s="98" t="str">
        <f>IF(tbLancamentos[[#This Row],[Equipamento]]="","",IFERROR(INDEX(CadEqu!$C$7:$F$506,MATCH(tbLancamentos[[#This Row],[Equipamento]],CadEqu!$F$7:$F$506,0),1),""))</f>
        <v/>
      </c>
    </row>
    <row r="53" spans="2:13" x14ac:dyDescent="0.25">
      <c r="B53" s="2">
        <f>COUNTA($B$6:B52)</f>
        <v>47</v>
      </c>
      <c r="C53" s="94"/>
      <c r="D53" s="16" t="str">
        <f>IFERROR(IF(C53="","",INDEX(CadEqu!$E$7:$F$506,MATCH(tbLancamentos[[#This Row],[Equipamento]],CadEqu!$F$7:$F$506,0),1)),"")</f>
        <v/>
      </c>
      <c r="E53" s="94"/>
      <c r="F53" s="95"/>
      <c r="G53" s="95"/>
      <c r="H53" s="96" t="str">
        <f ca="1">IF(tbLancamentos[Momento da falha]="","",IF(tbLancamentos[Momento do retorno]="",NOW()-tbLancamentos[Momento da falha],tbLancamentos[Momento do retorno]-tbLancamentos[Momento da falha]))</f>
        <v/>
      </c>
      <c r="I53" s="96" t="str">
        <f>IF(tbLancamentos[[#This Row],[Momento da falha]]="","",IFERROR(VLOOKUP(tbLancamentos[[#This Row],[Equipamento]],CadEqu!$F$7:$H$506,3,FALSE),""))</f>
        <v/>
      </c>
      <c r="J53" s="96" t="str">
        <f ca="1">IF(tbLancamentos[Tempo indisponível]="","",IF(tbLancamentos[Tempo indisponível]&lt;=tbLancamentos[Meta tempo reparo],0,tbLancamentos[Tempo indisponível]-tbLancamentos[Meta tempo reparo]))</f>
        <v/>
      </c>
      <c r="K5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3" s="97"/>
      <c r="M53" s="98" t="str">
        <f>IF(tbLancamentos[[#This Row],[Equipamento]]="","",IFERROR(INDEX(CadEqu!$C$7:$F$506,MATCH(tbLancamentos[[#This Row],[Equipamento]],CadEqu!$F$7:$F$506,0),1),""))</f>
        <v/>
      </c>
    </row>
    <row r="54" spans="2:13" x14ac:dyDescent="0.25">
      <c r="B54" s="2">
        <f>COUNTA($B$6:B53)</f>
        <v>48</v>
      </c>
      <c r="C54" s="94"/>
      <c r="D54" s="16" t="str">
        <f>IFERROR(IF(C54="","",INDEX(CadEqu!$E$7:$F$506,MATCH(tbLancamentos[[#This Row],[Equipamento]],CadEqu!$F$7:$F$506,0),1)),"")</f>
        <v/>
      </c>
      <c r="E54" s="94"/>
      <c r="F54" s="95"/>
      <c r="G54" s="95"/>
      <c r="H54" s="96" t="str">
        <f ca="1">IF(tbLancamentos[Momento da falha]="","",IF(tbLancamentos[Momento do retorno]="",NOW()-tbLancamentos[Momento da falha],tbLancamentos[Momento do retorno]-tbLancamentos[Momento da falha]))</f>
        <v/>
      </c>
      <c r="I54" s="96" t="str">
        <f>IF(tbLancamentos[[#This Row],[Momento da falha]]="","",IFERROR(VLOOKUP(tbLancamentos[[#This Row],[Equipamento]],CadEqu!$F$7:$H$506,3,FALSE),""))</f>
        <v/>
      </c>
      <c r="J54" s="96" t="str">
        <f ca="1">IF(tbLancamentos[Tempo indisponível]="","",IF(tbLancamentos[Tempo indisponível]&lt;=tbLancamentos[Meta tempo reparo],0,tbLancamentos[Tempo indisponível]-tbLancamentos[Meta tempo reparo]))</f>
        <v/>
      </c>
      <c r="K5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4" s="97"/>
      <c r="M54" s="98" t="str">
        <f>IF(tbLancamentos[[#This Row],[Equipamento]]="","",IFERROR(INDEX(CadEqu!$C$7:$F$506,MATCH(tbLancamentos[[#This Row],[Equipamento]],CadEqu!$F$7:$F$506,0),1),""))</f>
        <v/>
      </c>
    </row>
    <row r="55" spans="2:13" x14ac:dyDescent="0.25">
      <c r="B55" s="2">
        <f>COUNTA($B$6:B54)</f>
        <v>49</v>
      </c>
      <c r="C55" s="94"/>
      <c r="D55" s="16" t="str">
        <f>IFERROR(IF(C55="","",INDEX(CadEqu!$E$7:$F$506,MATCH(tbLancamentos[[#This Row],[Equipamento]],CadEqu!$F$7:$F$506,0),1)),"")</f>
        <v/>
      </c>
      <c r="E55" s="94"/>
      <c r="F55" s="95"/>
      <c r="G55" s="95"/>
      <c r="H55" s="96" t="str">
        <f ca="1">IF(tbLancamentos[Momento da falha]="","",IF(tbLancamentos[Momento do retorno]="",NOW()-tbLancamentos[Momento da falha],tbLancamentos[Momento do retorno]-tbLancamentos[Momento da falha]))</f>
        <v/>
      </c>
      <c r="I55" s="96" t="str">
        <f>IF(tbLancamentos[[#This Row],[Momento da falha]]="","",IFERROR(VLOOKUP(tbLancamentos[[#This Row],[Equipamento]],CadEqu!$F$7:$H$506,3,FALSE),""))</f>
        <v/>
      </c>
      <c r="J55" s="96" t="str">
        <f ca="1">IF(tbLancamentos[Tempo indisponível]="","",IF(tbLancamentos[Tempo indisponível]&lt;=tbLancamentos[Meta tempo reparo],0,tbLancamentos[Tempo indisponível]-tbLancamentos[Meta tempo reparo]))</f>
        <v/>
      </c>
      <c r="K5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5" s="97"/>
      <c r="M55" s="98" t="str">
        <f>IF(tbLancamentos[[#This Row],[Equipamento]]="","",IFERROR(INDEX(CadEqu!$C$7:$F$506,MATCH(tbLancamentos[[#This Row],[Equipamento]],CadEqu!$F$7:$F$506,0),1),""))</f>
        <v/>
      </c>
    </row>
    <row r="56" spans="2:13" x14ac:dyDescent="0.25">
      <c r="B56" s="2">
        <f>COUNTA($B$6:B55)</f>
        <v>50</v>
      </c>
      <c r="C56" s="94"/>
      <c r="D56" s="16" t="str">
        <f>IFERROR(IF(C56="","",INDEX(CadEqu!$E$7:$F$506,MATCH(tbLancamentos[[#This Row],[Equipamento]],CadEqu!$F$7:$F$506,0),1)),"")</f>
        <v/>
      </c>
      <c r="E56" s="94"/>
      <c r="F56" s="95"/>
      <c r="G56" s="95"/>
      <c r="H56" s="96" t="str">
        <f ca="1">IF(tbLancamentos[Momento da falha]="","",IF(tbLancamentos[Momento do retorno]="",NOW()-tbLancamentos[Momento da falha],tbLancamentos[Momento do retorno]-tbLancamentos[Momento da falha]))</f>
        <v/>
      </c>
      <c r="I56" s="96" t="str">
        <f>IF(tbLancamentos[[#This Row],[Momento da falha]]="","",IFERROR(VLOOKUP(tbLancamentos[[#This Row],[Equipamento]],CadEqu!$F$7:$H$506,3,FALSE),""))</f>
        <v/>
      </c>
      <c r="J56" s="96" t="str">
        <f ca="1">IF(tbLancamentos[Tempo indisponível]="","",IF(tbLancamentos[Tempo indisponível]&lt;=tbLancamentos[Meta tempo reparo],0,tbLancamentos[Tempo indisponível]-tbLancamentos[Meta tempo reparo]))</f>
        <v/>
      </c>
      <c r="K5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6" s="97"/>
      <c r="M56" s="98" t="str">
        <f>IF(tbLancamentos[[#This Row],[Equipamento]]="","",IFERROR(INDEX(CadEqu!$C$7:$F$506,MATCH(tbLancamentos[[#This Row],[Equipamento]],CadEqu!$F$7:$F$506,0),1),""))</f>
        <v/>
      </c>
    </row>
    <row r="57" spans="2:13" x14ac:dyDescent="0.25">
      <c r="B57" s="2">
        <f>COUNTA($B$6:B56)</f>
        <v>51</v>
      </c>
      <c r="C57" s="94"/>
      <c r="D57" s="16" t="str">
        <f>IFERROR(IF(C57="","",INDEX(CadEqu!$E$7:$F$506,MATCH(tbLancamentos[[#This Row],[Equipamento]],CadEqu!$F$7:$F$506,0),1)),"")</f>
        <v/>
      </c>
      <c r="E57" s="94"/>
      <c r="F57" s="95"/>
      <c r="G57" s="95"/>
      <c r="H57" s="96" t="str">
        <f ca="1">IF(tbLancamentos[Momento da falha]="","",IF(tbLancamentos[Momento do retorno]="",NOW()-tbLancamentos[Momento da falha],tbLancamentos[Momento do retorno]-tbLancamentos[Momento da falha]))</f>
        <v/>
      </c>
      <c r="I57" s="96" t="str">
        <f>IF(tbLancamentos[[#This Row],[Momento da falha]]="","",IFERROR(VLOOKUP(tbLancamentos[[#This Row],[Equipamento]],CadEqu!$F$7:$H$506,3,FALSE),""))</f>
        <v/>
      </c>
      <c r="J57" s="96" t="str">
        <f ca="1">IF(tbLancamentos[Tempo indisponível]="","",IF(tbLancamentos[Tempo indisponível]&lt;=tbLancamentos[Meta tempo reparo],0,tbLancamentos[Tempo indisponível]-tbLancamentos[Meta tempo reparo]))</f>
        <v/>
      </c>
      <c r="K5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7" s="97"/>
      <c r="M57" s="98" t="str">
        <f>IF(tbLancamentos[[#This Row],[Equipamento]]="","",IFERROR(INDEX(CadEqu!$C$7:$F$506,MATCH(tbLancamentos[[#This Row],[Equipamento]],CadEqu!$F$7:$F$506,0),1),""))</f>
        <v/>
      </c>
    </row>
    <row r="58" spans="2:13" x14ac:dyDescent="0.25">
      <c r="B58" s="2">
        <f>COUNTA($B$6:B57)</f>
        <v>52</v>
      </c>
      <c r="C58" s="94"/>
      <c r="D58" s="16" t="str">
        <f>IFERROR(IF(C58="","",INDEX(CadEqu!$E$7:$F$506,MATCH(tbLancamentos[[#This Row],[Equipamento]],CadEqu!$F$7:$F$506,0),1)),"")</f>
        <v/>
      </c>
      <c r="E58" s="94"/>
      <c r="F58" s="95"/>
      <c r="G58" s="95"/>
      <c r="H58" s="96" t="str">
        <f ca="1">IF(tbLancamentos[Momento da falha]="","",IF(tbLancamentos[Momento do retorno]="",NOW()-tbLancamentos[Momento da falha],tbLancamentos[Momento do retorno]-tbLancamentos[Momento da falha]))</f>
        <v/>
      </c>
      <c r="I58" s="96" t="str">
        <f>IF(tbLancamentos[[#This Row],[Momento da falha]]="","",IFERROR(VLOOKUP(tbLancamentos[[#This Row],[Equipamento]],CadEqu!$F$7:$H$506,3,FALSE),""))</f>
        <v/>
      </c>
      <c r="J58" s="96" t="str">
        <f ca="1">IF(tbLancamentos[Tempo indisponível]="","",IF(tbLancamentos[Tempo indisponível]&lt;=tbLancamentos[Meta tempo reparo],0,tbLancamentos[Tempo indisponível]-tbLancamentos[Meta tempo reparo]))</f>
        <v/>
      </c>
      <c r="K5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8" s="97"/>
      <c r="M58" s="98" t="str">
        <f>IF(tbLancamentos[[#This Row],[Equipamento]]="","",IFERROR(INDEX(CadEqu!$C$7:$F$506,MATCH(tbLancamentos[[#This Row],[Equipamento]],CadEqu!$F$7:$F$506,0),1),""))</f>
        <v/>
      </c>
    </row>
    <row r="59" spans="2:13" x14ac:dyDescent="0.25">
      <c r="B59" s="2">
        <f>COUNTA($B$6:B58)</f>
        <v>53</v>
      </c>
      <c r="C59" s="94"/>
      <c r="D59" s="16" t="str">
        <f>IFERROR(IF(C59="","",INDEX(CadEqu!$E$7:$F$506,MATCH(tbLancamentos[[#This Row],[Equipamento]],CadEqu!$F$7:$F$506,0),1)),"")</f>
        <v/>
      </c>
      <c r="E59" s="94"/>
      <c r="F59" s="95"/>
      <c r="G59" s="95"/>
      <c r="H59" s="96" t="str">
        <f ca="1">IF(tbLancamentos[Momento da falha]="","",IF(tbLancamentos[Momento do retorno]="",NOW()-tbLancamentos[Momento da falha],tbLancamentos[Momento do retorno]-tbLancamentos[Momento da falha]))</f>
        <v/>
      </c>
      <c r="I59" s="96" t="str">
        <f>IF(tbLancamentos[[#This Row],[Momento da falha]]="","",IFERROR(VLOOKUP(tbLancamentos[[#This Row],[Equipamento]],CadEqu!$F$7:$H$506,3,FALSE),""))</f>
        <v/>
      </c>
      <c r="J59" s="96" t="str">
        <f ca="1">IF(tbLancamentos[Tempo indisponível]="","",IF(tbLancamentos[Tempo indisponível]&lt;=tbLancamentos[Meta tempo reparo],0,tbLancamentos[Tempo indisponível]-tbLancamentos[Meta tempo reparo]))</f>
        <v/>
      </c>
      <c r="K5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59" s="97"/>
      <c r="M59" s="98" t="str">
        <f>IF(tbLancamentos[[#This Row],[Equipamento]]="","",IFERROR(INDEX(CadEqu!$C$7:$F$506,MATCH(tbLancamentos[[#This Row],[Equipamento]],CadEqu!$F$7:$F$506,0),1),""))</f>
        <v/>
      </c>
    </row>
    <row r="60" spans="2:13" x14ac:dyDescent="0.25">
      <c r="B60" s="2">
        <f>COUNTA($B$6:B59)</f>
        <v>54</v>
      </c>
      <c r="C60" s="94"/>
      <c r="D60" s="16" t="str">
        <f>IFERROR(IF(C60="","",INDEX(CadEqu!$E$7:$F$506,MATCH(tbLancamentos[[#This Row],[Equipamento]],CadEqu!$F$7:$F$506,0),1)),"")</f>
        <v/>
      </c>
      <c r="E60" s="94"/>
      <c r="F60" s="95"/>
      <c r="G60" s="95"/>
      <c r="H60" s="96" t="str">
        <f ca="1">IF(tbLancamentos[Momento da falha]="","",IF(tbLancamentos[Momento do retorno]="",NOW()-tbLancamentos[Momento da falha],tbLancamentos[Momento do retorno]-tbLancamentos[Momento da falha]))</f>
        <v/>
      </c>
      <c r="I60" s="96" t="str">
        <f>IF(tbLancamentos[[#This Row],[Momento da falha]]="","",IFERROR(VLOOKUP(tbLancamentos[[#This Row],[Equipamento]],CadEqu!$F$7:$H$506,3,FALSE),""))</f>
        <v/>
      </c>
      <c r="J60" s="96" t="str">
        <f ca="1">IF(tbLancamentos[Tempo indisponível]="","",IF(tbLancamentos[Tempo indisponível]&lt;=tbLancamentos[Meta tempo reparo],0,tbLancamentos[Tempo indisponível]-tbLancamentos[Meta tempo reparo]))</f>
        <v/>
      </c>
      <c r="K6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0" s="97"/>
      <c r="M60" s="98" t="str">
        <f>IF(tbLancamentos[[#This Row],[Equipamento]]="","",IFERROR(INDEX(CadEqu!$C$7:$F$506,MATCH(tbLancamentos[[#This Row],[Equipamento]],CadEqu!$F$7:$F$506,0),1),""))</f>
        <v/>
      </c>
    </row>
    <row r="61" spans="2:13" x14ac:dyDescent="0.25">
      <c r="B61" s="2">
        <f>COUNTA($B$6:B60)</f>
        <v>55</v>
      </c>
      <c r="C61" s="94"/>
      <c r="D61" s="16" t="str">
        <f>IFERROR(IF(C61="","",INDEX(CadEqu!$E$7:$F$506,MATCH(tbLancamentos[[#This Row],[Equipamento]],CadEqu!$F$7:$F$506,0),1)),"")</f>
        <v/>
      </c>
      <c r="E61" s="94"/>
      <c r="F61" s="95"/>
      <c r="G61" s="95"/>
      <c r="H61" s="96" t="str">
        <f ca="1">IF(tbLancamentos[Momento da falha]="","",IF(tbLancamentos[Momento do retorno]="",NOW()-tbLancamentos[Momento da falha],tbLancamentos[Momento do retorno]-tbLancamentos[Momento da falha]))</f>
        <v/>
      </c>
      <c r="I61" s="96" t="str">
        <f>IF(tbLancamentos[[#This Row],[Momento da falha]]="","",IFERROR(VLOOKUP(tbLancamentos[[#This Row],[Equipamento]],CadEqu!$F$7:$H$506,3,FALSE),""))</f>
        <v/>
      </c>
      <c r="J61" s="96" t="str">
        <f ca="1">IF(tbLancamentos[Tempo indisponível]="","",IF(tbLancamentos[Tempo indisponível]&lt;=tbLancamentos[Meta tempo reparo],0,tbLancamentos[Tempo indisponível]-tbLancamentos[Meta tempo reparo]))</f>
        <v/>
      </c>
      <c r="K6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1" s="97"/>
      <c r="M61" s="98" t="str">
        <f>IF(tbLancamentos[[#This Row],[Equipamento]]="","",IFERROR(INDEX(CadEqu!$C$7:$F$506,MATCH(tbLancamentos[[#This Row],[Equipamento]],CadEqu!$F$7:$F$506,0),1),""))</f>
        <v/>
      </c>
    </row>
    <row r="62" spans="2:13" x14ac:dyDescent="0.25">
      <c r="B62" s="2">
        <f>COUNTA($B$6:B61)</f>
        <v>56</v>
      </c>
      <c r="C62" s="94"/>
      <c r="D62" s="16" t="str">
        <f>IFERROR(IF(C62="","",INDEX(CadEqu!$E$7:$F$506,MATCH(tbLancamentos[[#This Row],[Equipamento]],CadEqu!$F$7:$F$506,0),1)),"")</f>
        <v/>
      </c>
      <c r="E62" s="94"/>
      <c r="F62" s="95"/>
      <c r="G62" s="95"/>
      <c r="H62" s="96" t="str">
        <f ca="1">IF(tbLancamentos[Momento da falha]="","",IF(tbLancamentos[Momento do retorno]="",NOW()-tbLancamentos[Momento da falha],tbLancamentos[Momento do retorno]-tbLancamentos[Momento da falha]))</f>
        <v/>
      </c>
      <c r="I62" s="96" t="str">
        <f>IF(tbLancamentos[[#This Row],[Momento da falha]]="","",IFERROR(VLOOKUP(tbLancamentos[[#This Row],[Equipamento]],CadEqu!$F$7:$H$506,3,FALSE),""))</f>
        <v/>
      </c>
      <c r="J62" s="96" t="str">
        <f ca="1">IF(tbLancamentos[Tempo indisponível]="","",IF(tbLancamentos[Tempo indisponível]&lt;=tbLancamentos[Meta tempo reparo],0,tbLancamentos[Tempo indisponível]-tbLancamentos[Meta tempo reparo]))</f>
        <v/>
      </c>
      <c r="K6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2" s="97"/>
      <c r="M62" s="98" t="str">
        <f>IF(tbLancamentos[[#This Row],[Equipamento]]="","",IFERROR(INDEX(CadEqu!$C$7:$F$506,MATCH(tbLancamentos[[#This Row],[Equipamento]],CadEqu!$F$7:$F$506,0),1),""))</f>
        <v/>
      </c>
    </row>
    <row r="63" spans="2:13" x14ac:dyDescent="0.25">
      <c r="B63" s="2">
        <f>COUNTA($B$6:B62)</f>
        <v>57</v>
      </c>
      <c r="C63" s="94"/>
      <c r="D63" s="16" t="str">
        <f>IFERROR(IF(C63="","",INDEX(CadEqu!$E$7:$F$506,MATCH(tbLancamentos[[#This Row],[Equipamento]],CadEqu!$F$7:$F$506,0),1)),"")</f>
        <v/>
      </c>
      <c r="E63" s="94"/>
      <c r="F63" s="95"/>
      <c r="G63" s="95"/>
      <c r="H63" s="96" t="str">
        <f ca="1">IF(tbLancamentos[Momento da falha]="","",IF(tbLancamentos[Momento do retorno]="",NOW()-tbLancamentos[Momento da falha],tbLancamentos[Momento do retorno]-tbLancamentos[Momento da falha]))</f>
        <v/>
      </c>
      <c r="I63" s="96" t="str">
        <f>IF(tbLancamentos[[#This Row],[Momento da falha]]="","",IFERROR(VLOOKUP(tbLancamentos[[#This Row],[Equipamento]],CadEqu!$F$7:$H$506,3,FALSE),""))</f>
        <v/>
      </c>
      <c r="J63" s="96" t="str">
        <f ca="1">IF(tbLancamentos[Tempo indisponível]="","",IF(tbLancamentos[Tempo indisponível]&lt;=tbLancamentos[Meta tempo reparo],0,tbLancamentos[Tempo indisponível]-tbLancamentos[Meta tempo reparo]))</f>
        <v/>
      </c>
      <c r="K6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3" s="97"/>
      <c r="M63" s="98" t="str">
        <f>IF(tbLancamentos[[#This Row],[Equipamento]]="","",IFERROR(INDEX(CadEqu!$C$7:$F$506,MATCH(tbLancamentos[[#This Row],[Equipamento]],CadEqu!$F$7:$F$506,0),1),""))</f>
        <v/>
      </c>
    </row>
    <row r="64" spans="2:13" x14ac:dyDescent="0.25">
      <c r="B64" s="2">
        <f>COUNTA($B$6:B63)</f>
        <v>58</v>
      </c>
      <c r="C64" s="94"/>
      <c r="D64" s="16" t="str">
        <f>IFERROR(IF(C64="","",INDEX(CadEqu!$E$7:$F$506,MATCH(tbLancamentos[[#This Row],[Equipamento]],CadEqu!$F$7:$F$506,0),1)),"")</f>
        <v/>
      </c>
      <c r="E64" s="94"/>
      <c r="F64" s="95"/>
      <c r="G64" s="95"/>
      <c r="H64" s="96" t="str">
        <f ca="1">IF(tbLancamentos[Momento da falha]="","",IF(tbLancamentos[Momento do retorno]="",NOW()-tbLancamentos[Momento da falha],tbLancamentos[Momento do retorno]-tbLancamentos[Momento da falha]))</f>
        <v/>
      </c>
      <c r="I64" s="96" t="str">
        <f>IF(tbLancamentos[[#This Row],[Momento da falha]]="","",IFERROR(VLOOKUP(tbLancamentos[[#This Row],[Equipamento]],CadEqu!$F$7:$H$506,3,FALSE),""))</f>
        <v/>
      </c>
      <c r="J64" s="96" t="str">
        <f ca="1">IF(tbLancamentos[Tempo indisponível]="","",IF(tbLancamentos[Tempo indisponível]&lt;=tbLancamentos[Meta tempo reparo],0,tbLancamentos[Tempo indisponível]-tbLancamentos[Meta tempo reparo]))</f>
        <v/>
      </c>
      <c r="K6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4" s="97"/>
      <c r="M64" s="98" t="str">
        <f>IF(tbLancamentos[[#This Row],[Equipamento]]="","",IFERROR(INDEX(CadEqu!$C$7:$F$506,MATCH(tbLancamentos[[#This Row],[Equipamento]],CadEqu!$F$7:$F$506,0),1),""))</f>
        <v/>
      </c>
    </row>
    <row r="65" spans="2:13" x14ac:dyDescent="0.25">
      <c r="B65" s="2">
        <f>COUNTA($B$6:B64)</f>
        <v>59</v>
      </c>
      <c r="C65" s="94"/>
      <c r="D65" s="16" t="str">
        <f>IFERROR(IF(C65="","",INDEX(CadEqu!$E$7:$F$506,MATCH(tbLancamentos[[#This Row],[Equipamento]],CadEqu!$F$7:$F$506,0),1)),"")</f>
        <v/>
      </c>
      <c r="E65" s="94"/>
      <c r="F65" s="95"/>
      <c r="G65" s="95"/>
      <c r="H65" s="96" t="str">
        <f ca="1">IF(tbLancamentos[Momento da falha]="","",IF(tbLancamentos[Momento do retorno]="",NOW()-tbLancamentos[Momento da falha],tbLancamentos[Momento do retorno]-tbLancamentos[Momento da falha]))</f>
        <v/>
      </c>
      <c r="I65" s="96" t="str">
        <f>IF(tbLancamentos[[#This Row],[Momento da falha]]="","",IFERROR(VLOOKUP(tbLancamentos[[#This Row],[Equipamento]],CadEqu!$F$7:$H$506,3,FALSE),""))</f>
        <v/>
      </c>
      <c r="J65" s="96" t="str">
        <f ca="1">IF(tbLancamentos[Tempo indisponível]="","",IF(tbLancamentos[Tempo indisponível]&lt;=tbLancamentos[Meta tempo reparo],0,tbLancamentos[Tempo indisponível]-tbLancamentos[Meta tempo reparo]))</f>
        <v/>
      </c>
      <c r="K6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5" s="97"/>
      <c r="M65" s="98" t="str">
        <f>IF(tbLancamentos[[#This Row],[Equipamento]]="","",IFERROR(INDEX(CadEqu!$C$7:$F$506,MATCH(tbLancamentos[[#This Row],[Equipamento]],CadEqu!$F$7:$F$506,0),1),""))</f>
        <v/>
      </c>
    </row>
    <row r="66" spans="2:13" x14ac:dyDescent="0.25">
      <c r="B66" s="2">
        <f>COUNTA($B$6:B65)</f>
        <v>60</v>
      </c>
      <c r="C66" s="94"/>
      <c r="D66" s="16" t="str">
        <f>IFERROR(IF(C66="","",INDEX(CadEqu!$E$7:$F$506,MATCH(tbLancamentos[[#This Row],[Equipamento]],CadEqu!$F$7:$F$506,0),1)),"")</f>
        <v/>
      </c>
      <c r="E66" s="94"/>
      <c r="F66" s="95"/>
      <c r="G66" s="95"/>
      <c r="H66" s="96" t="str">
        <f ca="1">IF(tbLancamentos[Momento da falha]="","",IF(tbLancamentos[Momento do retorno]="",NOW()-tbLancamentos[Momento da falha],tbLancamentos[Momento do retorno]-tbLancamentos[Momento da falha]))</f>
        <v/>
      </c>
      <c r="I66" s="96" t="str">
        <f>IF(tbLancamentos[[#This Row],[Momento da falha]]="","",IFERROR(VLOOKUP(tbLancamentos[[#This Row],[Equipamento]],CadEqu!$F$7:$H$506,3,FALSE),""))</f>
        <v/>
      </c>
      <c r="J66" s="96" t="str">
        <f ca="1">IF(tbLancamentos[Tempo indisponível]="","",IF(tbLancamentos[Tempo indisponível]&lt;=tbLancamentos[Meta tempo reparo],0,tbLancamentos[Tempo indisponível]-tbLancamentos[Meta tempo reparo]))</f>
        <v/>
      </c>
      <c r="K6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6" s="97"/>
      <c r="M66" s="98" t="str">
        <f>IF(tbLancamentos[[#This Row],[Equipamento]]="","",IFERROR(INDEX(CadEqu!$C$7:$F$506,MATCH(tbLancamentos[[#This Row],[Equipamento]],CadEqu!$F$7:$F$506,0),1),""))</f>
        <v/>
      </c>
    </row>
    <row r="67" spans="2:13" x14ac:dyDescent="0.25">
      <c r="B67" s="2">
        <f>COUNTA($B$6:B66)</f>
        <v>61</v>
      </c>
      <c r="C67" s="94"/>
      <c r="D67" s="16" t="str">
        <f>IFERROR(IF(C67="","",INDEX(CadEqu!$E$7:$F$506,MATCH(tbLancamentos[[#This Row],[Equipamento]],CadEqu!$F$7:$F$506,0),1)),"")</f>
        <v/>
      </c>
      <c r="E67" s="94"/>
      <c r="F67" s="95"/>
      <c r="G67" s="95"/>
      <c r="H67" s="96" t="str">
        <f ca="1">IF(tbLancamentos[Momento da falha]="","",IF(tbLancamentos[Momento do retorno]="",NOW()-tbLancamentos[Momento da falha],tbLancamentos[Momento do retorno]-tbLancamentos[Momento da falha]))</f>
        <v/>
      </c>
      <c r="I67" s="96" t="str">
        <f>IF(tbLancamentos[[#This Row],[Momento da falha]]="","",IFERROR(VLOOKUP(tbLancamentos[[#This Row],[Equipamento]],CadEqu!$F$7:$H$506,3,FALSE),""))</f>
        <v/>
      </c>
      <c r="J67" s="96" t="str">
        <f ca="1">IF(tbLancamentos[Tempo indisponível]="","",IF(tbLancamentos[Tempo indisponível]&lt;=tbLancamentos[Meta tempo reparo],0,tbLancamentos[Tempo indisponível]-tbLancamentos[Meta tempo reparo]))</f>
        <v/>
      </c>
      <c r="K6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7" s="97"/>
      <c r="M67" s="98" t="str">
        <f>IF(tbLancamentos[[#This Row],[Equipamento]]="","",IFERROR(INDEX(CadEqu!$C$7:$F$506,MATCH(tbLancamentos[[#This Row],[Equipamento]],CadEqu!$F$7:$F$506,0),1),""))</f>
        <v/>
      </c>
    </row>
    <row r="68" spans="2:13" x14ac:dyDescent="0.25">
      <c r="B68" s="2">
        <f>COUNTA($B$6:B67)</f>
        <v>62</v>
      </c>
      <c r="C68" s="94"/>
      <c r="D68" s="16" t="str">
        <f>IFERROR(IF(C68="","",INDEX(CadEqu!$E$7:$F$506,MATCH(tbLancamentos[[#This Row],[Equipamento]],CadEqu!$F$7:$F$506,0),1)),"")</f>
        <v/>
      </c>
      <c r="E68" s="94"/>
      <c r="F68" s="95"/>
      <c r="G68" s="95"/>
      <c r="H68" s="96" t="str">
        <f ca="1">IF(tbLancamentos[Momento da falha]="","",IF(tbLancamentos[Momento do retorno]="",NOW()-tbLancamentos[Momento da falha],tbLancamentos[Momento do retorno]-tbLancamentos[Momento da falha]))</f>
        <v/>
      </c>
      <c r="I68" s="96" t="str">
        <f>IF(tbLancamentos[[#This Row],[Momento da falha]]="","",IFERROR(VLOOKUP(tbLancamentos[[#This Row],[Equipamento]],CadEqu!$F$7:$H$506,3,FALSE),""))</f>
        <v/>
      </c>
      <c r="J68" s="96" t="str">
        <f ca="1">IF(tbLancamentos[Tempo indisponível]="","",IF(tbLancamentos[Tempo indisponível]&lt;=tbLancamentos[Meta tempo reparo],0,tbLancamentos[Tempo indisponível]-tbLancamentos[Meta tempo reparo]))</f>
        <v/>
      </c>
      <c r="K6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8" s="97"/>
      <c r="M68" s="98" t="str">
        <f>IF(tbLancamentos[[#This Row],[Equipamento]]="","",IFERROR(INDEX(CadEqu!$C$7:$F$506,MATCH(tbLancamentos[[#This Row],[Equipamento]],CadEqu!$F$7:$F$506,0),1),""))</f>
        <v/>
      </c>
    </row>
    <row r="69" spans="2:13" x14ac:dyDescent="0.25">
      <c r="B69" s="2">
        <f>COUNTA($B$6:B68)</f>
        <v>63</v>
      </c>
      <c r="C69" s="94"/>
      <c r="D69" s="16" t="str">
        <f>IFERROR(IF(C69="","",INDEX(CadEqu!$E$7:$F$506,MATCH(tbLancamentos[[#This Row],[Equipamento]],CadEqu!$F$7:$F$506,0),1)),"")</f>
        <v/>
      </c>
      <c r="E69" s="94"/>
      <c r="F69" s="95"/>
      <c r="G69" s="95"/>
      <c r="H69" s="96" t="str">
        <f ca="1">IF(tbLancamentos[Momento da falha]="","",IF(tbLancamentos[Momento do retorno]="",NOW()-tbLancamentos[Momento da falha],tbLancamentos[Momento do retorno]-tbLancamentos[Momento da falha]))</f>
        <v/>
      </c>
      <c r="I69" s="96" t="str">
        <f>IF(tbLancamentos[[#This Row],[Momento da falha]]="","",IFERROR(VLOOKUP(tbLancamentos[[#This Row],[Equipamento]],CadEqu!$F$7:$H$506,3,FALSE),""))</f>
        <v/>
      </c>
      <c r="J69" s="96" t="str">
        <f ca="1">IF(tbLancamentos[Tempo indisponível]="","",IF(tbLancamentos[Tempo indisponível]&lt;=tbLancamentos[Meta tempo reparo],0,tbLancamentos[Tempo indisponível]-tbLancamentos[Meta tempo reparo]))</f>
        <v/>
      </c>
      <c r="K6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69" s="97"/>
      <c r="M69" s="98" t="str">
        <f>IF(tbLancamentos[[#This Row],[Equipamento]]="","",IFERROR(INDEX(CadEqu!$C$7:$F$506,MATCH(tbLancamentos[[#This Row],[Equipamento]],CadEqu!$F$7:$F$506,0),1),""))</f>
        <v/>
      </c>
    </row>
    <row r="70" spans="2:13" x14ac:dyDescent="0.25">
      <c r="B70" s="2">
        <f>COUNTA($B$6:B69)</f>
        <v>64</v>
      </c>
      <c r="C70" s="94"/>
      <c r="D70" s="16" t="str">
        <f>IFERROR(IF(C70="","",INDEX(CadEqu!$E$7:$F$506,MATCH(tbLancamentos[[#This Row],[Equipamento]],CadEqu!$F$7:$F$506,0),1)),"")</f>
        <v/>
      </c>
      <c r="E70" s="94"/>
      <c r="F70" s="95"/>
      <c r="G70" s="95"/>
      <c r="H70" s="96" t="str">
        <f ca="1">IF(tbLancamentos[Momento da falha]="","",IF(tbLancamentos[Momento do retorno]="",NOW()-tbLancamentos[Momento da falha],tbLancamentos[Momento do retorno]-tbLancamentos[Momento da falha]))</f>
        <v/>
      </c>
      <c r="I70" s="96" t="str">
        <f>IF(tbLancamentos[[#This Row],[Momento da falha]]="","",IFERROR(VLOOKUP(tbLancamentos[[#This Row],[Equipamento]],CadEqu!$F$7:$H$506,3,FALSE),""))</f>
        <v/>
      </c>
      <c r="J70" s="96" t="str">
        <f ca="1">IF(tbLancamentos[Tempo indisponível]="","",IF(tbLancamentos[Tempo indisponível]&lt;=tbLancamentos[Meta tempo reparo],0,tbLancamentos[Tempo indisponível]-tbLancamentos[Meta tempo reparo]))</f>
        <v/>
      </c>
      <c r="K7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0" s="97"/>
      <c r="M70" s="98" t="str">
        <f>IF(tbLancamentos[[#This Row],[Equipamento]]="","",IFERROR(INDEX(CadEqu!$C$7:$F$506,MATCH(tbLancamentos[[#This Row],[Equipamento]],CadEqu!$F$7:$F$506,0),1),""))</f>
        <v/>
      </c>
    </row>
    <row r="71" spans="2:13" x14ac:dyDescent="0.25">
      <c r="B71" s="2">
        <f>COUNTA($B$6:B70)</f>
        <v>65</v>
      </c>
      <c r="C71" s="94"/>
      <c r="D71" s="16" t="str">
        <f>IFERROR(IF(C71="","",INDEX(CadEqu!$E$7:$F$506,MATCH(tbLancamentos[[#This Row],[Equipamento]],CadEqu!$F$7:$F$506,0),1)),"")</f>
        <v/>
      </c>
      <c r="E71" s="94"/>
      <c r="F71" s="95"/>
      <c r="G71" s="95"/>
      <c r="H71" s="96" t="str">
        <f ca="1">IF(tbLancamentos[Momento da falha]="","",IF(tbLancamentos[Momento do retorno]="",NOW()-tbLancamentos[Momento da falha],tbLancamentos[Momento do retorno]-tbLancamentos[Momento da falha]))</f>
        <v/>
      </c>
      <c r="I71" s="96" t="str">
        <f>IF(tbLancamentos[[#This Row],[Momento da falha]]="","",IFERROR(VLOOKUP(tbLancamentos[[#This Row],[Equipamento]],CadEqu!$F$7:$H$506,3,FALSE),""))</f>
        <v/>
      </c>
      <c r="J71" s="96" t="str">
        <f ca="1">IF(tbLancamentos[Tempo indisponível]="","",IF(tbLancamentos[Tempo indisponível]&lt;=tbLancamentos[Meta tempo reparo],0,tbLancamentos[Tempo indisponível]-tbLancamentos[Meta tempo reparo]))</f>
        <v/>
      </c>
      <c r="K7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1" s="97"/>
      <c r="M71" s="98" t="str">
        <f>IF(tbLancamentos[[#This Row],[Equipamento]]="","",IFERROR(INDEX(CadEqu!$C$7:$F$506,MATCH(tbLancamentos[[#This Row],[Equipamento]],CadEqu!$F$7:$F$506,0),1),""))</f>
        <v/>
      </c>
    </row>
    <row r="72" spans="2:13" x14ac:dyDescent="0.25">
      <c r="B72" s="2">
        <f>COUNTA($B$6:B71)</f>
        <v>66</v>
      </c>
      <c r="C72" s="94"/>
      <c r="D72" s="16" t="str">
        <f>IFERROR(IF(C72="","",INDEX(CadEqu!$E$7:$F$506,MATCH(tbLancamentos[[#This Row],[Equipamento]],CadEqu!$F$7:$F$506,0),1)),"")</f>
        <v/>
      </c>
      <c r="E72" s="94"/>
      <c r="F72" s="95"/>
      <c r="G72" s="95"/>
      <c r="H72" s="96" t="str">
        <f ca="1">IF(tbLancamentos[Momento da falha]="","",IF(tbLancamentos[Momento do retorno]="",NOW()-tbLancamentos[Momento da falha],tbLancamentos[Momento do retorno]-tbLancamentos[Momento da falha]))</f>
        <v/>
      </c>
      <c r="I72" s="96" t="str">
        <f>IF(tbLancamentos[[#This Row],[Momento da falha]]="","",IFERROR(VLOOKUP(tbLancamentos[[#This Row],[Equipamento]],CadEqu!$F$7:$H$506,3,FALSE),""))</f>
        <v/>
      </c>
      <c r="J72" s="96" t="str">
        <f ca="1">IF(tbLancamentos[Tempo indisponível]="","",IF(tbLancamentos[Tempo indisponível]&lt;=tbLancamentos[Meta tempo reparo],0,tbLancamentos[Tempo indisponível]-tbLancamentos[Meta tempo reparo]))</f>
        <v/>
      </c>
      <c r="K7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2" s="97"/>
      <c r="M72" s="98" t="str">
        <f>IF(tbLancamentos[[#This Row],[Equipamento]]="","",IFERROR(INDEX(CadEqu!$C$7:$F$506,MATCH(tbLancamentos[[#This Row],[Equipamento]],CadEqu!$F$7:$F$506,0),1),""))</f>
        <v/>
      </c>
    </row>
    <row r="73" spans="2:13" x14ac:dyDescent="0.25">
      <c r="B73" s="2">
        <f>COUNTA($B$6:B72)</f>
        <v>67</v>
      </c>
      <c r="C73" s="94"/>
      <c r="D73" s="16" t="str">
        <f>IFERROR(IF(C73="","",INDEX(CadEqu!$E$7:$F$506,MATCH(tbLancamentos[[#This Row],[Equipamento]],CadEqu!$F$7:$F$506,0),1)),"")</f>
        <v/>
      </c>
      <c r="E73" s="94"/>
      <c r="F73" s="95"/>
      <c r="G73" s="95"/>
      <c r="H73" s="96" t="str">
        <f ca="1">IF(tbLancamentos[Momento da falha]="","",IF(tbLancamentos[Momento do retorno]="",NOW()-tbLancamentos[Momento da falha],tbLancamentos[Momento do retorno]-tbLancamentos[Momento da falha]))</f>
        <v/>
      </c>
      <c r="I73" s="96" t="str">
        <f>IF(tbLancamentos[[#This Row],[Momento da falha]]="","",IFERROR(VLOOKUP(tbLancamentos[[#This Row],[Equipamento]],CadEqu!$F$7:$H$506,3,FALSE),""))</f>
        <v/>
      </c>
      <c r="J73" s="96" t="str">
        <f ca="1">IF(tbLancamentos[Tempo indisponível]="","",IF(tbLancamentos[Tempo indisponível]&lt;=tbLancamentos[Meta tempo reparo],0,tbLancamentos[Tempo indisponível]-tbLancamentos[Meta tempo reparo]))</f>
        <v/>
      </c>
      <c r="K7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3" s="97"/>
      <c r="M73" s="98" t="str">
        <f>IF(tbLancamentos[[#This Row],[Equipamento]]="","",IFERROR(INDEX(CadEqu!$C$7:$F$506,MATCH(tbLancamentos[[#This Row],[Equipamento]],CadEqu!$F$7:$F$506,0),1),""))</f>
        <v/>
      </c>
    </row>
    <row r="74" spans="2:13" x14ac:dyDescent="0.25">
      <c r="B74" s="2">
        <f>COUNTA($B$6:B73)</f>
        <v>68</v>
      </c>
      <c r="C74" s="94"/>
      <c r="D74" s="16" t="str">
        <f>IFERROR(IF(C74="","",INDEX(CadEqu!$E$7:$F$506,MATCH(tbLancamentos[[#This Row],[Equipamento]],CadEqu!$F$7:$F$506,0),1)),"")</f>
        <v/>
      </c>
      <c r="E74" s="94"/>
      <c r="F74" s="95"/>
      <c r="G74" s="95"/>
      <c r="H74" s="96" t="str">
        <f ca="1">IF(tbLancamentos[Momento da falha]="","",IF(tbLancamentos[Momento do retorno]="",NOW()-tbLancamentos[Momento da falha],tbLancamentos[Momento do retorno]-tbLancamentos[Momento da falha]))</f>
        <v/>
      </c>
      <c r="I74" s="96" t="str">
        <f>IF(tbLancamentos[[#This Row],[Momento da falha]]="","",IFERROR(VLOOKUP(tbLancamentos[[#This Row],[Equipamento]],CadEqu!$F$7:$H$506,3,FALSE),""))</f>
        <v/>
      </c>
      <c r="J74" s="96" t="str">
        <f ca="1">IF(tbLancamentos[Tempo indisponível]="","",IF(tbLancamentos[Tempo indisponível]&lt;=tbLancamentos[Meta tempo reparo],0,tbLancamentos[Tempo indisponível]-tbLancamentos[Meta tempo reparo]))</f>
        <v/>
      </c>
      <c r="K7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4" s="97"/>
      <c r="M74" s="98" t="str">
        <f>IF(tbLancamentos[[#This Row],[Equipamento]]="","",IFERROR(INDEX(CadEqu!$C$7:$F$506,MATCH(tbLancamentos[[#This Row],[Equipamento]],CadEqu!$F$7:$F$506,0),1),""))</f>
        <v/>
      </c>
    </row>
    <row r="75" spans="2:13" x14ac:dyDescent="0.25">
      <c r="B75" s="2">
        <f>COUNTA($B$6:B74)</f>
        <v>69</v>
      </c>
      <c r="C75" s="94"/>
      <c r="D75" s="16" t="str">
        <f>IFERROR(IF(C75="","",INDEX(CadEqu!$E$7:$F$506,MATCH(tbLancamentos[[#This Row],[Equipamento]],CadEqu!$F$7:$F$506,0),1)),"")</f>
        <v/>
      </c>
      <c r="E75" s="94"/>
      <c r="F75" s="95"/>
      <c r="G75" s="95"/>
      <c r="H75" s="96" t="str">
        <f ca="1">IF(tbLancamentos[Momento da falha]="","",IF(tbLancamentos[Momento do retorno]="",NOW()-tbLancamentos[Momento da falha],tbLancamentos[Momento do retorno]-tbLancamentos[Momento da falha]))</f>
        <v/>
      </c>
      <c r="I75" s="96" t="str">
        <f>IF(tbLancamentos[[#This Row],[Momento da falha]]="","",IFERROR(VLOOKUP(tbLancamentos[[#This Row],[Equipamento]],CadEqu!$F$7:$H$506,3,FALSE),""))</f>
        <v/>
      </c>
      <c r="J75" s="96" t="str">
        <f ca="1">IF(tbLancamentos[Tempo indisponível]="","",IF(tbLancamentos[Tempo indisponível]&lt;=tbLancamentos[Meta tempo reparo],0,tbLancamentos[Tempo indisponível]-tbLancamentos[Meta tempo reparo]))</f>
        <v/>
      </c>
      <c r="K7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5" s="97"/>
      <c r="M75" s="98" t="str">
        <f>IF(tbLancamentos[[#This Row],[Equipamento]]="","",IFERROR(INDEX(CadEqu!$C$7:$F$506,MATCH(tbLancamentos[[#This Row],[Equipamento]],CadEqu!$F$7:$F$506,0),1),""))</f>
        <v/>
      </c>
    </row>
    <row r="76" spans="2:13" x14ac:dyDescent="0.25">
      <c r="B76" s="2">
        <f>COUNTA($B$6:B75)</f>
        <v>70</v>
      </c>
      <c r="C76" s="94"/>
      <c r="D76" s="16" t="str">
        <f>IFERROR(IF(C76="","",INDEX(CadEqu!$E$7:$F$506,MATCH(tbLancamentos[[#This Row],[Equipamento]],CadEqu!$F$7:$F$506,0),1)),"")</f>
        <v/>
      </c>
      <c r="E76" s="94"/>
      <c r="F76" s="95"/>
      <c r="G76" s="95"/>
      <c r="H76" s="96" t="str">
        <f ca="1">IF(tbLancamentos[Momento da falha]="","",IF(tbLancamentos[Momento do retorno]="",NOW()-tbLancamentos[Momento da falha],tbLancamentos[Momento do retorno]-tbLancamentos[Momento da falha]))</f>
        <v/>
      </c>
      <c r="I76" s="96" t="str">
        <f>IF(tbLancamentos[[#This Row],[Momento da falha]]="","",IFERROR(VLOOKUP(tbLancamentos[[#This Row],[Equipamento]],CadEqu!$F$7:$H$506,3,FALSE),""))</f>
        <v/>
      </c>
      <c r="J76" s="96" t="str">
        <f ca="1">IF(tbLancamentos[Tempo indisponível]="","",IF(tbLancamentos[Tempo indisponível]&lt;=tbLancamentos[Meta tempo reparo],0,tbLancamentos[Tempo indisponível]-tbLancamentos[Meta tempo reparo]))</f>
        <v/>
      </c>
      <c r="K7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6" s="97"/>
      <c r="M76" s="98" t="str">
        <f>IF(tbLancamentos[[#This Row],[Equipamento]]="","",IFERROR(INDEX(CadEqu!$C$7:$F$506,MATCH(tbLancamentos[[#This Row],[Equipamento]],CadEqu!$F$7:$F$506,0),1),""))</f>
        <v/>
      </c>
    </row>
    <row r="77" spans="2:13" x14ac:dyDescent="0.25">
      <c r="B77" s="2">
        <f>COUNTA($B$6:B76)</f>
        <v>71</v>
      </c>
      <c r="C77" s="94"/>
      <c r="D77" s="16" t="str">
        <f>IFERROR(IF(C77="","",INDEX(CadEqu!$E$7:$F$506,MATCH(tbLancamentos[[#This Row],[Equipamento]],CadEqu!$F$7:$F$506,0),1)),"")</f>
        <v/>
      </c>
      <c r="E77" s="94"/>
      <c r="F77" s="95"/>
      <c r="G77" s="95"/>
      <c r="H77" s="96" t="str">
        <f ca="1">IF(tbLancamentos[Momento da falha]="","",IF(tbLancamentos[Momento do retorno]="",NOW()-tbLancamentos[Momento da falha],tbLancamentos[Momento do retorno]-tbLancamentos[Momento da falha]))</f>
        <v/>
      </c>
      <c r="I77" s="96" t="str">
        <f>IF(tbLancamentos[[#This Row],[Momento da falha]]="","",IFERROR(VLOOKUP(tbLancamentos[[#This Row],[Equipamento]],CadEqu!$F$7:$H$506,3,FALSE),""))</f>
        <v/>
      </c>
      <c r="J77" s="96" t="str">
        <f ca="1">IF(tbLancamentos[Tempo indisponível]="","",IF(tbLancamentos[Tempo indisponível]&lt;=tbLancamentos[Meta tempo reparo],0,tbLancamentos[Tempo indisponível]-tbLancamentos[Meta tempo reparo]))</f>
        <v/>
      </c>
      <c r="K7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7" s="97"/>
      <c r="M77" s="98" t="str">
        <f>IF(tbLancamentos[[#This Row],[Equipamento]]="","",IFERROR(INDEX(CadEqu!$C$7:$F$506,MATCH(tbLancamentos[[#This Row],[Equipamento]],CadEqu!$F$7:$F$506,0),1),""))</f>
        <v/>
      </c>
    </row>
    <row r="78" spans="2:13" x14ac:dyDescent="0.25">
      <c r="B78" s="2">
        <f>COUNTA($B$6:B77)</f>
        <v>72</v>
      </c>
      <c r="C78" s="94"/>
      <c r="D78" s="16" t="str">
        <f>IFERROR(IF(C78="","",INDEX(CadEqu!$E$7:$F$506,MATCH(tbLancamentos[[#This Row],[Equipamento]],CadEqu!$F$7:$F$506,0),1)),"")</f>
        <v/>
      </c>
      <c r="E78" s="94"/>
      <c r="F78" s="95"/>
      <c r="G78" s="95"/>
      <c r="H78" s="96" t="str">
        <f ca="1">IF(tbLancamentos[Momento da falha]="","",IF(tbLancamentos[Momento do retorno]="",NOW()-tbLancamentos[Momento da falha],tbLancamentos[Momento do retorno]-tbLancamentos[Momento da falha]))</f>
        <v/>
      </c>
      <c r="I78" s="96" t="str">
        <f>IF(tbLancamentos[[#This Row],[Momento da falha]]="","",IFERROR(VLOOKUP(tbLancamentos[[#This Row],[Equipamento]],CadEqu!$F$7:$H$506,3,FALSE),""))</f>
        <v/>
      </c>
      <c r="J78" s="96" t="str">
        <f ca="1">IF(tbLancamentos[Tempo indisponível]="","",IF(tbLancamentos[Tempo indisponível]&lt;=tbLancamentos[Meta tempo reparo],0,tbLancamentos[Tempo indisponível]-tbLancamentos[Meta tempo reparo]))</f>
        <v/>
      </c>
      <c r="K7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8" s="97"/>
      <c r="M78" s="98" t="str">
        <f>IF(tbLancamentos[[#This Row],[Equipamento]]="","",IFERROR(INDEX(CadEqu!$C$7:$F$506,MATCH(tbLancamentos[[#This Row],[Equipamento]],CadEqu!$F$7:$F$506,0),1),""))</f>
        <v/>
      </c>
    </row>
    <row r="79" spans="2:13" x14ac:dyDescent="0.25">
      <c r="B79" s="2">
        <f>COUNTA($B$6:B78)</f>
        <v>73</v>
      </c>
      <c r="C79" s="94"/>
      <c r="D79" s="16" t="str">
        <f>IFERROR(IF(C79="","",INDEX(CadEqu!$E$7:$F$506,MATCH(tbLancamentos[[#This Row],[Equipamento]],CadEqu!$F$7:$F$506,0),1)),"")</f>
        <v/>
      </c>
      <c r="E79" s="94"/>
      <c r="F79" s="95"/>
      <c r="G79" s="95"/>
      <c r="H79" s="96" t="str">
        <f ca="1">IF(tbLancamentos[Momento da falha]="","",IF(tbLancamentos[Momento do retorno]="",NOW()-tbLancamentos[Momento da falha],tbLancamentos[Momento do retorno]-tbLancamentos[Momento da falha]))</f>
        <v/>
      </c>
      <c r="I79" s="96" t="str">
        <f>IF(tbLancamentos[[#This Row],[Momento da falha]]="","",IFERROR(VLOOKUP(tbLancamentos[[#This Row],[Equipamento]],CadEqu!$F$7:$H$506,3,FALSE),""))</f>
        <v/>
      </c>
      <c r="J79" s="96" t="str">
        <f ca="1">IF(tbLancamentos[Tempo indisponível]="","",IF(tbLancamentos[Tempo indisponível]&lt;=tbLancamentos[Meta tempo reparo],0,tbLancamentos[Tempo indisponível]-tbLancamentos[Meta tempo reparo]))</f>
        <v/>
      </c>
      <c r="K7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79" s="97"/>
      <c r="M79" s="98" t="str">
        <f>IF(tbLancamentos[[#This Row],[Equipamento]]="","",IFERROR(INDEX(CadEqu!$C$7:$F$506,MATCH(tbLancamentos[[#This Row],[Equipamento]],CadEqu!$F$7:$F$506,0),1),""))</f>
        <v/>
      </c>
    </row>
    <row r="80" spans="2:13" x14ac:dyDescent="0.25">
      <c r="B80" s="2">
        <f>COUNTA($B$6:B79)</f>
        <v>74</v>
      </c>
      <c r="C80" s="94"/>
      <c r="D80" s="16" t="str">
        <f>IFERROR(IF(C80="","",INDEX(CadEqu!$E$7:$F$506,MATCH(tbLancamentos[[#This Row],[Equipamento]],CadEqu!$F$7:$F$506,0),1)),"")</f>
        <v/>
      </c>
      <c r="E80" s="94"/>
      <c r="F80" s="95"/>
      <c r="G80" s="95"/>
      <c r="H80" s="96" t="str">
        <f ca="1">IF(tbLancamentos[Momento da falha]="","",IF(tbLancamentos[Momento do retorno]="",NOW()-tbLancamentos[Momento da falha],tbLancamentos[Momento do retorno]-tbLancamentos[Momento da falha]))</f>
        <v/>
      </c>
      <c r="I80" s="96" t="str">
        <f>IF(tbLancamentos[[#This Row],[Momento da falha]]="","",IFERROR(VLOOKUP(tbLancamentos[[#This Row],[Equipamento]],CadEqu!$F$7:$H$506,3,FALSE),""))</f>
        <v/>
      </c>
      <c r="J80" s="96" t="str">
        <f ca="1">IF(tbLancamentos[Tempo indisponível]="","",IF(tbLancamentos[Tempo indisponível]&lt;=tbLancamentos[Meta tempo reparo],0,tbLancamentos[Tempo indisponível]-tbLancamentos[Meta tempo reparo]))</f>
        <v/>
      </c>
      <c r="K8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0" s="97"/>
      <c r="M80" s="98" t="str">
        <f>IF(tbLancamentos[[#This Row],[Equipamento]]="","",IFERROR(INDEX(CadEqu!$C$7:$F$506,MATCH(tbLancamentos[[#This Row],[Equipamento]],CadEqu!$F$7:$F$506,0),1),""))</f>
        <v/>
      </c>
    </row>
    <row r="81" spans="2:13" x14ac:dyDescent="0.25">
      <c r="B81" s="2">
        <f>COUNTA($B$6:B80)</f>
        <v>75</v>
      </c>
      <c r="C81" s="94"/>
      <c r="D81" s="16" t="str">
        <f>IFERROR(IF(C81="","",INDEX(CadEqu!$E$7:$F$506,MATCH(tbLancamentos[[#This Row],[Equipamento]],CadEqu!$F$7:$F$506,0),1)),"")</f>
        <v/>
      </c>
      <c r="E81" s="94"/>
      <c r="F81" s="95"/>
      <c r="G81" s="95"/>
      <c r="H81" s="96" t="str">
        <f ca="1">IF(tbLancamentos[Momento da falha]="","",IF(tbLancamentos[Momento do retorno]="",NOW()-tbLancamentos[Momento da falha],tbLancamentos[Momento do retorno]-tbLancamentos[Momento da falha]))</f>
        <v/>
      </c>
      <c r="I81" s="96" t="str">
        <f>IF(tbLancamentos[[#This Row],[Momento da falha]]="","",IFERROR(VLOOKUP(tbLancamentos[[#This Row],[Equipamento]],CadEqu!$F$7:$H$506,3,FALSE),""))</f>
        <v/>
      </c>
      <c r="J81" s="96" t="str">
        <f ca="1">IF(tbLancamentos[Tempo indisponível]="","",IF(tbLancamentos[Tempo indisponível]&lt;=tbLancamentos[Meta tempo reparo],0,tbLancamentos[Tempo indisponível]-tbLancamentos[Meta tempo reparo]))</f>
        <v/>
      </c>
      <c r="K8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1" s="97"/>
      <c r="M81" s="98" t="str">
        <f>IF(tbLancamentos[[#This Row],[Equipamento]]="","",IFERROR(INDEX(CadEqu!$C$7:$F$506,MATCH(tbLancamentos[[#This Row],[Equipamento]],CadEqu!$F$7:$F$506,0),1),""))</f>
        <v/>
      </c>
    </row>
    <row r="82" spans="2:13" x14ac:dyDescent="0.25">
      <c r="B82" s="2">
        <f>COUNTA($B$6:B81)</f>
        <v>76</v>
      </c>
      <c r="C82" s="94"/>
      <c r="D82" s="16" t="str">
        <f>IFERROR(IF(C82="","",INDEX(CadEqu!$E$7:$F$506,MATCH(tbLancamentos[[#This Row],[Equipamento]],CadEqu!$F$7:$F$506,0),1)),"")</f>
        <v/>
      </c>
      <c r="E82" s="94"/>
      <c r="F82" s="95"/>
      <c r="G82" s="95"/>
      <c r="H82" s="96" t="str">
        <f ca="1">IF(tbLancamentos[Momento da falha]="","",IF(tbLancamentos[Momento do retorno]="",NOW()-tbLancamentos[Momento da falha],tbLancamentos[Momento do retorno]-tbLancamentos[Momento da falha]))</f>
        <v/>
      </c>
      <c r="I82" s="96" t="str">
        <f>IF(tbLancamentos[[#This Row],[Momento da falha]]="","",IFERROR(VLOOKUP(tbLancamentos[[#This Row],[Equipamento]],CadEqu!$F$7:$H$506,3,FALSE),""))</f>
        <v/>
      </c>
      <c r="J82" s="96" t="str">
        <f ca="1">IF(tbLancamentos[Tempo indisponível]="","",IF(tbLancamentos[Tempo indisponível]&lt;=tbLancamentos[Meta tempo reparo],0,tbLancamentos[Tempo indisponível]-tbLancamentos[Meta tempo reparo]))</f>
        <v/>
      </c>
      <c r="K8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2" s="97"/>
      <c r="M82" s="98" t="str">
        <f>IF(tbLancamentos[[#This Row],[Equipamento]]="","",IFERROR(INDEX(CadEqu!$C$7:$F$506,MATCH(tbLancamentos[[#This Row],[Equipamento]],CadEqu!$F$7:$F$506,0),1),""))</f>
        <v/>
      </c>
    </row>
    <row r="83" spans="2:13" x14ac:dyDescent="0.25">
      <c r="B83" s="2">
        <f>COUNTA($B$6:B82)</f>
        <v>77</v>
      </c>
      <c r="C83" s="94"/>
      <c r="D83" s="16" t="str">
        <f>IFERROR(IF(C83="","",INDEX(CadEqu!$E$7:$F$506,MATCH(tbLancamentos[[#This Row],[Equipamento]],CadEqu!$F$7:$F$506,0),1)),"")</f>
        <v/>
      </c>
      <c r="E83" s="94"/>
      <c r="F83" s="95"/>
      <c r="G83" s="95"/>
      <c r="H83" s="96" t="str">
        <f ca="1">IF(tbLancamentos[Momento da falha]="","",IF(tbLancamentos[Momento do retorno]="",NOW()-tbLancamentos[Momento da falha],tbLancamentos[Momento do retorno]-tbLancamentos[Momento da falha]))</f>
        <v/>
      </c>
      <c r="I83" s="96" t="str">
        <f>IF(tbLancamentos[[#This Row],[Momento da falha]]="","",IFERROR(VLOOKUP(tbLancamentos[[#This Row],[Equipamento]],CadEqu!$F$7:$H$506,3,FALSE),""))</f>
        <v/>
      </c>
      <c r="J83" s="96" t="str">
        <f ca="1">IF(tbLancamentos[Tempo indisponível]="","",IF(tbLancamentos[Tempo indisponível]&lt;=tbLancamentos[Meta tempo reparo],0,tbLancamentos[Tempo indisponível]-tbLancamentos[Meta tempo reparo]))</f>
        <v/>
      </c>
      <c r="K8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3" s="97"/>
      <c r="M83" s="98" t="str">
        <f>IF(tbLancamentos[[#This Row],[Equipamento]]="","",IFERROR(INDEX(CadEqu!$C$7:$F$506,MATCH(tbLancamentos[[#This Row],[Equipamento]],CadEqu!$F$7:$F$506,0),1),""))</f>
        <v/>
      </c>
    </row>
    <row r="84" spans="2:13" x14ac:dyDescent="0.25">
      <c r="B84" s="2">
        <f>COUNTA($B$6:B83)</f>
        <v>78</v>
      </c>
      <c r="C84" s="94"/>
      <c r="D84" s="16" t="str">
        <f>IFERROR(IF(C84="","",INDEX(CadEqu!$E$7:$F$506,MATCH(tbLancamentos[[#This Row],[Equipamento]],CadEqu!$F$7:$F$506,0),1)),"")</f>
        <v/>
      </c>
      <c r="E84" s="94"/>
      <c r="F84" s="95"/>
      <c r="G84" s="95"/>
      <c r="H84" s="96" t="str">
        <f ca="1">IF(tbLancamentos[Momento da falha]="","",IF(tbLancamentos[Momento do retorno]="",NOW()-tbLancamentos[Momento da falha],tbLancamentos[Momento do retorno]-tbLancamentos[Momento da falha]))</f>
        <v/>
      </c>
      <c r="I84" s="96" t="str">
        <f>IF(tbLancamentos[[#This Row],[Momento da falha]]="","",IFERROR(VLOOKUP(tbLancamentos[[#This Row],[Equipamento]],CadEqu!$F$7:$H$506,3,FALSE),""))</f>
        <v/>
      </c>
      <c r="J84" s="96" t="str">
        <f ca="1">IF(tbLancamentos[Tempo indisponível]="","",IF(tbLancamentos[Tempo indisponível]&lt;=tbLancamentos[Meta tempo reparo],0,tbLancamentos[Tempo indisponível]-tbLancamentos[Meta tempo reparo]))</f>
        <v/>
      </c>
      <c r="K8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4" s="97"/>
      <c r="M84" s="98" t="str">
        <f>IF(tbLancamentos[[#This Row],[Equipamento]]="","",IFERROR(INDEX(CadEqu!$C$7:$F$506,MATCH(tbLancamentos[[#This Row],[Equipamento]],CadEqu!$F$7:$F$506,0),1),""))</f>
        <v/>
      </c>
    </row>
    <row r="85" spans="2:13" x14ac:dyDescent="0.25">
      <c r="B85" s="2">
        <f>COUNTA($B$6:B84)</f>
        <v>79</v>
      </c>
      <c r="C85" s="94"/>
      <c r="D85" s="16" t="str">
        <f>IFERROR(IF(C85="","",INDEX(CadEqu!$E$7:$F$506,MATCH(tbLancamentos[[#This Row],[Equipamento]],CadEqu!$F$7:$F$506,0),1)),"")</f>
        <v/>
      </c>
      <c r="E85" s="94"/>
      <c r="F85" s="95"/>
      <c r="G85" s="95"/>
      <c r="H85" s="96" t="str">
        <f ca="1">IF(tbLancamentos[Momento da falha]="","",IF(tbLancamentos[Momento do retorno]="",NOW()-tbLancamentos[Momento da falha],tbLancamentos[Momento do retorno]-tbLancamentos[Momento da falha]))</f>
        <v/>
      </c>
      <c r="I85" s="96" t="str">
        <f>IF(tbLancamentos[[#This Row],[Momento da falha]]="","",IFERROR(VLOOKUP(tbLancamentos[[#This Row],[Equipamento]],CadEqu!$F$7:$H$506,3,FALSE),""))</f>
        <v/>
      </c>
      <c r="J85" s="96" t="str">
        <f ca="1">IF(tbLancamentos[Tempo indisponível]="","",IF(tbLancamentos[Tempo indisponível]&lt;=tbLancamentos[Meta tempo reparo],0,tbLancamentos[Tempo indisponível]-tbLancamentos[Meta tempo reparo]))</f>
        <v/>
      </c>
      <c r="K8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5" s="97"/>
      <c r="M85" s="98" t="str">
        <f>IF(tbLancamentos[[#This Row],[Equipamento]]="","",IFERROR(INDEX(CadEqu!$C$7:$F$506,MATCH(tbLancamentos[[#This Row],[Equipamento]],CadEqu!$F$7:$F$506,0),1),""))</f>
        <v/>
      </c>
    </row>
    <row r="86" spans="2:13" x14ac:dyDescent="0.25">
      <c r="B86" s="2">
        <f>COUNTA($B$6:B85)</f>
        <v>80</v>
      </c>
      <c r="C86" s="94"/>
      <c r="D86" s="16" t="str">
        <f>IFERROR(IF(C86="","",INDEX(CadEqu!$E$7:$F$506,MATCH(tbLancamentos[[#This Row],[Equipamento]],CadEqu!$F$7:$F$506,0),1)),"")</f>
        <v/>
      </c>
      <c r="E86" s="94"/>
      <c r="F86" s="95"/>
      <c r="G86" s="95"/>
      <c r="H86" s="96" t="str">
        <f ca="1">IF(tbLancamentos[Momento da falha]="","",IF(tbLancamentos[Momento do retorno]="",NOW()-tbLancamentos[Momento da falha],tbLancamentos[Momento do retorno]-tbLancamentos[Momento da falha]))</f>
        <v/>
      </c>
      <c r="I86" s="96" t="str">
        <f>IF(tbLancamentos[[#This Row],[Momento da falha]]="","",IFERROR(VLOOKUP(tbLancamentos[[#This Row],[Equipamento]],CadEqu!$F$7:$H$506,3,FALSE),""))</f>
        <v/>
      </c>
      <c r="J86" s="96" t="str">
        <f ca="1">IF(tbLancamentos[Tempo indisponível]="","",IF(tbLancamentos[Tempo indisponível]&lt;=tbLancamentos[Meta tempo reparo],0,tbLancamentos[Tempo indisponível]-tbLancamentos[Meta tempo reparo]))</f>
        <v/>
      </c>
      <c r="K8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6" s="97"/>
      <c r="M86" s="98" t="str">
        <f>IF(tbLancamentos[[#This Row],[Equipamento]]="","",IFERROR(INDEX(CadEqu!$C$7:$F$506,MATCH(tbLancamentos[[#This Row],[Equipamento]],CadEqu!$F$7:$F$506,0),1),""))</f>
        <v/>
      </c>
    </row>
    <row r="87" spans="2:13" x14ac:dyDescent="0.25">
      <c r="B87" s="2">
        <f>COUNTA($B$6:B86)</f>
        <v>81</v>
      </c>
      <c r="C87" s="94"/>
      <c r="D87" s="16" t="str">
        <f>IFERROR(IF(C87="","",INDEX(CadEqu!$E$7:$F$506,MATCH(tbLancamentos[[#This Row],[Equipamento]],CadEqu!$F$7:$F$506,0),1)),"")</f>
        <v/>
      </c>
      <c r="E87" s="94"/>
      <c r="F87" s="95"/>
      <c r="G87" s="95"/>
      <c r="H87" s="96" t="str">
        <f ca="1">IF(tbLancamentos[Momento da falha]="","",IF(tbLancamentos[Momento do retorno]="",NOW()-tbLancamentos[Momento da falha],tbLancamentos[Momento do retorno]-tbLancamentos[Momento da falha]))</f>
        <v/>
      </c>
      <c r="I87" s="96" t="str">
        <f>IF(tbLancamentos[[#This Row],[Momento da falha]]="","",IFERROR(VLOOKUP(tbLancamentos[[#This Row],[Equipamento]],CadEqu!$F$7:$H$506,3,FALSE),""))</f>
        <v/>
      </c>
      <c r="J87" s="96" t="str">
        <f ca="1">IF(tbLancamentos[Tempo indisponível]="","",IF(tbLancamentos[Tempo indisponível]&lt;=tbLancamentos[Meta tempo reparo],0,tbLancamentos[Tempo indisponível]-tbLancamentos[Meta tempo reparo]))</f>
        <v/>
      </c>
      <c r="K8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7" s="97"/>
      <c r="M87" s="98" t="str">
        <f>IF(tbLancamentos[[#This Row],[Equipamento]]="","",IFERROR(INDEX(CadEqu!$C$7:$F$506,MATCH(tbLancamentos[[#This Row],[Equipamento]],CadEqu!$F$7:$F$506,0),1),""))</f>
        <v/>
      </c>
    </row>
    <row r="88" spans="2:13" x14ac:dyDescent="0.25">
      <c r="B88" s="2">
        <f>COUNTA($B$6:B87)</f>
        <v>82</v>
      </c>
      <c r="C88" s="94"/>
      <c r="D88" s="16" t="str">
        <f>IFERROR(IF(C88="","",INDEX(CadEqu!$E$7:$F$506,MATCH(tbLancamentos[[#This Row],[Equipamento]],CadEqu!$F$7:$F$506,0),1)),"")</f>
        <v/>
      </c>
      <c r="E88" s="94"/>
      <c r="F88" s="95"/>
      <c r="G88" s="95"/>
      <c r="H88" s="96" t="str">
        <f ca="1">IF(tbLancamentos[Momento da falha]="","",IF(tbLancamentos[Momento do retorno]="",NOW()-tbLancamentos[Momento da falha],tbLancamentos[Momento do retorno]-tbLancamentos[Momento da falha]))</f>
        <v/>
      </c>
      <c r="I88" s="96" t="str">
        <f>IF(tbLancamentos[[#This Row],[Momento da falha]]="","",IFERROR(VLOOKUP(tbLancamentos[[#This Row],[Equipamento]],CadEqu!$F$7:$H$506,3,FALSE),""))</f>
        <v/>
      </c>
      <c r="J88" s="96" t="str">
        <f ca="1">IF(tbLancamentos[Tempo indisponível]="","",IF(tbLancamentos[Tempo indisponível]&lt;=tbLancamentos[Meta tempo reparo],0,tbLancamentos[Tempo indisponível]-tbLancamentos[Meta tempo reparo]))</f>
        <v/>
      </c>
      <c r="K8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8" s="97"/>
      <c r="M88" s="98" t="str">
        <f>IF(tbLancamentos[[#This Row],[Equipamento]]="","",IFERROR(INDEX(CadEqu!$C$7:$F$506,MATCH(tbLancamentos[[#This Row],[Equipamento]],CadEqu!$F$7:$F$506,0),1),""))</f>
        <v/>
      </c>
    </row>
    <row r="89" spans="2:13" x14ac:dyDescent="0.25">
      <c r="B89" s="2">
        <f>COUNTA($B$6:B88)</f>
        <v>83</v>
      </c>
      <c r="C89" s="94"/>
      <c r="D89" s="16" t="str">
        <f>IFERROR(IF(C89="","",INDEX(CadEqu!$E$7:$F$506,MATCH(tbLancamentos[[#This Row],[Equipamento]],CadEqu!$F$7:$F$506,0),1)),"")</f>
        <v/>
      </c>
      <c r="E89" s="94"/>
      <c r="F89" s="95"/>
      <c r="G89" s="95"/>
      <c r="H89" s="96" t="str">
        <f ca="1">IF(tbLancamentos[Momento da falha]="","",IF(tbLancamentos[Momento do retorno]="",NOW()-tbLancamentos[Momento da falha],tbLancamentos[Momento do retorno]-tbLancamentos[Momento da falha]))</f>
        <v/>
      </c>
      <c r="I89" s="96" t="str">
        <f>IF(tbLancamentos[[#This Row],[Momento da falha]]="","",IFERROR(VLOOKUP(tbLancamentos[[#This Row],[Equipamento]],CadEqu!$F$7:$H$506,3,FALSE),""))</f>
        <v/>
      </c>
      <c r="J89" s="96" t="str">
        <f ca="1">IF(tbLancamentos[Tempo indisponível]="","",IF(tbLancamentos[Tempo indisponível]&lt;=tbLancamentos[Meta tempo reparo],0,tbLancamentos[Tempo indisponível]-tbLancamentos[Meta tempo reparo]))</f>
        <v/>
      </c>
      <c r="K8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89" s="97"/>
      <c r="M89" s="98" t="str">
        <f>IF(tbLancamentos[[#This Row],[Equipamento]]="","",IFERROR(INDEX(CadEqu!$C$7:$F$506,MATCH(tbLancamentos[[#This Row],[Equipamento]],CadEqu!$F$7:$F$506,0),1),""))</f>
        <v/>
      </c>
    </row>
    <row r="90" spans="2:13" x14ac:dyDescent="0.25">
      <c r="B90" s="2">
        <f>COUNTA($B$6:B89)</f>
        <v>84</v>
      </c>
      <c r="C90" s="94"/>
      <c r="D90" s="16" t="str">
        <f>IFERROR(IF(C90="","",INDEX(CadEqu!$E$7:$F$506,MATCH(tbLancamentos[[#This Row],[Equipamento]],CadEqu!$F$7:$F$506,0),1)),"")</f>
        <v/>
      </c>
      <c r="E90" s="94"/>
      <c r="F90" s="95"/>
      <c r="G90" s="95"/>
      <c r="H90" s="96" t="str">
        <f ca="1">IF(tbLancamentos[Momento da falha]="","",IF(tbLancamentos[Momento do retorno]="",NOW()-tbLancamentos[Momento da falha],tbLancamentos[Momento do retorno]-tbLancamentos[Momento da falha]))</f>
        <v/>
      </c>
      <c r="I90" s="96" t="str">
        <f>IF(tbLancamentos[[#This Row],[Momento da falha]]="","",IFERROR(VLOOKUP(tbLancamentos[[#This Row],[Equipamento]],CadEqu!$F$7:$H$506,3,FALSE),""))</f>
        <v/>
      </c>
      <c r="J90" s="96" t="str">
        <f ca="1">IF(tbLancamentos[Tempo indisponível]="","",IF(tbLancamentos[Tempo indisponível]&lt;=tbLancamentos[Meta tempo reparo],0,tbLancamentos[Tempo indisponível]-tbLancamentos[Meta tempo reparo]))</f>
        <v/>
      </c>
      <c r="K9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0" s="97"/>
      <c r="M90" s="98" t="str">
        <f>IF(tbLancamentos[[#This Row],[Equipamento]]="","",IFERROR(INDEX(CadEqu!$C$7:$F$506,MATCH(tbLancamentos[[#This Row],[Equipamento]],CadEqu!$F$7:$F$506,0),1),""))</f>
        <v/>
      </c>
    </row>
    <row r="91" spans="2:13" x14ac:dyDescent="0.25">
      <c r="B91" s="2">
        <f>COUNTA($B$6:B90)</f>
        <v>85</v>
      </c>
      <c r="C91" s="94"/>
      <c r="D91" s="16" t="str">
        <f>IFERROR(IF(C91="","",INDEX(CadEqu!$E$7:$F$506,MATCH(tbLancamentos[[#This Row],[Equipamento]],CadEqu!$F$7:$F$506,0),1)),"")</f>
        <v/>
      </c>
      <c r="E91" s="94"/>
      <c r="F91" s="95"/>
      <c r="G91" s="95"/>
      <c r="H91" s="96" t="str">
        <f ca="1">IF(tbLancamentos[Momento da falha]="","",IF(tbLancamentos[Momento do retorno]="",NOW()-tbLancamentos[Momento da falha],tbLancamentos[Momento do retorno]-tbLancamentos[Momento da falha]))</f>
        <v/>
      </c>
      <c r="I91" s="96" t="str">
        <f>IF(tbLancamentos[[#This Row],[Momento da falha]]="","",IFERROR(VLOOKUP(tbLancamentos[[#This Row],[Equipamento]],CadEqu!$F$7:$H$506,3,FALSE),""))</f>
        <v/>
      </c>
      <c r="J91" s="96" t="str">
        <f ca="1">IF(tbLancamentos[Tempo indisponível]="","",IF(tbLancamentos[Tempo indisponível]&lt;=tbLancamentos[Meta tempo reparo],0,tbLancamentos[Tempo indisponível]-tbLancamentos[Meta tempo reparo]))</f>
        <v/>
      </c>
      <c r="K9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1" s="97"/>
      <c r="M91" s="98" t="str">
        <f>IF(tbLancamentos[[#This Row],[Equipamento]]="","",IFERROR(INDEX(CadEqu!$C$7:$F$506,MATCH(tbLancamentos[[#This Row],[Equipamento]],CadEqu!$F$7:$F$506,0),1),""))</f>
        <v/>
      </c>
    </row>
    <row r="92" spans="2:13" x14ac:dyDescent="0.25">
      <c r="B92" s="2">
        <f>COUNTA($B$6:B91)</f>
        <v>86</v>
      </c>
      <c r="C92" s="94"/>
      <c r="D92" s="16" t="str">
        <f>IFERROR(IF(C92="","",INDEX(CadEqu!$E$7:$F$506,MATCH(tbLancamentos[[#This Row],[Equipamento]],CadEqu!$F$7:$F$506,0),1)),"")</f>
        <v/>
      </c>
      <c r="E92" s="94"/>
      <c r="F92" s="95"/>
      <c r="G92" s="95"/>
      <c r="H92" s="96" t="str">
        <f ca="1">IF(tbLancamentos[Momento da falha]="","",IF(tbLancamentos[Momento do retorno]="",NOW()-tbLancamentos[Momento da falha],tbLancamentos[Momento do retorno]-tbLancamentos[Momento da falha]))</f>
        <v/>
      </c>
      <c r="I92" s="96" t="str">
        <f>IF(tbLancamentos[[#This Row],[Momento da falha]]="","",IFERROR(VLOOKUP(tbLancamentos[[#This Row],[Equipamento]],CadEqu!$F$7:$H$506,3,FALSE),""))</f>
        <v/>
      </c>
      <c r="J92" s="96" t="str">
        <f ca="1">IF(tbLancamentos[Tempo indisponível]="","",IF(tbLancamentos[Tempo indisponível]&lt;=tbLancamentos[Meta tempo reparo],0,tbLancamentos[Tempo indisponível]-tbLancamentos[Meta tempo reparo]))</f>
        <v/>
      </c>
      <c r="K9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2" s="97"/>
      <c r="M92" s="98" t="str">
        <f>IF(tbLancamentos[[#This Row],[Equipamento]]="","",IFERROR(INDEX(CadEqu!$C$7:$F$506,MATCH(tbLancamentos[[#This Row],[Equipamento]],CadEqu!$F$7:$F$506,0),1),""))</f>
        <v/>
      </c>
    </row>
    <row r="93" spans="2:13" x14ac:dyDescent="0.25">
      <c r="B93" s="2">
        <f>COUNTA($B$6:B92)</f>
        <v>87</v>
      </c>
      <c r="C93" s="94"/>
      <c r="D93" s="16" t="str">
        <f>IFERROR(IF(C93="","",INDEX(CadEqu!$E$7:$F$506,MATCH(tbLancamentos[[#This Row],[Equipamento]],CadEqu!$F$7:$F$506,0),1)),"")</f>
        <v/>
      </c>
      <c r="E93" s="94"/>
      <c r="F93" s="95"/>
      <c r="G93" s="95"/>
      <c r="H93" s="96" t="str">
        <f ca="1">IF(tbLancamentos[Momento da falha]="","",IF(tbLancamentos[Momento do retorno]="",NOW()-tbLancamentos[Momento da falha],tbLancamentos[Momento do retorno]-tbLancamentos[Momento da falha]))</f>
        <v/>
      </c>
      <c r="I93" s="96" t="str">
        <f>IF(tbLancamentos[[#This Row],[Momento da falha]]="","",IFERROR(VLOOKUP(tbLancamentos[[#This Row],[Equipamento]],CadEqu!$F$7:$H$506,3,FALSE),""))</f>
        <v/>
      </c>
      <c r="J93" s="96" t="str">
        <f ca="1">IF(tbLancamentos[Tempo indisponível]="","",IF(tbLancamentos[Tempo indisponível]&lt;=tbLancamentos[Meta tempo reparo],0,tbLancamentos[Tempo indisponível]-tbLancamentos[Meta tempo reparo]))</f>
        <v/>
      </c>
      <c r="K9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3" s="97"/>
      <c r="M93" s="98" t="str">
        <f>IF(tbLancamentos[[#This Row],[Equipamento]]="","",IFERROR(INDEX(CadEqu!$C$7:$F$506,MATCH(tbLancamentos[[#This Row],[Equipamento]],CadEqu!$F$7:$F$506,0),1),""))</f>
        <v/>
      </c>
    </row>
    <row r="94" spans="2:13" x14ac:dyDescent="0.25">
      <c r="B94" s="2">
        <f>COUNTA($B$6:B93)</f>
        <v>88</v>
      </c>
      <c r="C94" s="94"/>
      <c r="D94" s="16" t="str">
        <f>IFERROR(IF(C94="","",INDEX(CadEqu!$E$7:$F$506,MATCH(tbLancamentos[[#This Row],[Equipamento]],CadEqu!$F$7:$F$506,0),1)),"")</f>
        <v/>
      </c>
      <c r="E94" s="94"/>
      <c r="F94" s="95"/>
      <c r="G94" s="95"/>
      <c r="H94" s="96" t="str">
        <f ca="1">IF(tbLancamentos[Momento da falha]="","",IF(tbLancamentos[Momento do retorno]="",NOW()-tbLancamentos[Momento da falha],tbLancamentos[Momento do retorno]-tbLancamentos[Momento da falha]))</f>
        <v/>
      </c>
      <c r="I94" s="96" t="str">
        <f>IF(tbLancamentos[[#This Row],[Momento da falha]]="","",IFERROR(VLOOKUP(tbLancamentos[[#This Row],[Equipamento]],CadEqu!$F$7:$H$506,3,FALSE),""))</f>
        <v/>
      </c>
      <c r="J94" s="96" t="str">
        <f ca="1">IF(tbLancamentos[Tempo indisponível]="","",IF(tbLancamentos[Tempo indisponível]&lt;=tbLancamentos[Meta tempo reparo],0,tbLancamentos[Tempo indisponível]-tbLancamentos[Meta tempo reparo]))</f>
        <v/>
      </c>
      <c r="K9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4" s="97"/>
      <c r="M94" s="98" t="str">
        <f>IF(tbLancamentos[[#This Row],[Equipamento]]="","",IFERROR(INDEX(CadEqu!$C$7:$F$506,MATCH(tbLancamentos[[#This Row],[Equipamento]],CadEqu!$F$7:$F$506,0),1),""))</f>
        <v/>
      </c>
    </row>
    <row r="95" spans="2:13" x14ac:dyDescent="0.25">
      <c r="B95" s="2">
        <f>COUNTA($B$6:B94)</f>
        <v>89</v>
      </c>
      <c r="C95" s="94"/>
      <c r="D95" s="16" t="str">
        <f>IFERROR(IF(C95="","",INDEX(CadEqu!$E$7:$F$506,MATCH(tbLancamentos[[#This Row],[Equipamento]],CadEqu!$F$7:$F$506,0),1)),"")</f>
        <v/>
      </c>
      <c r="E95" s="94"/>
      <c r="F95" s="95"/>
      <c r="G95" s="95"/>
      <c r="H95" s="96" t="str">
        <f ca="1">IF(tbLancamentos[Momento da falha]="","",IF(tbLancamentos[Momento do retorno]="",NOW()-tbLancamentos[Momento da falha],tbLancamentos[Momento do retorno]-tbLancamentos[Momento da falha]))</f>
        <v/>
      </c>
      <c r="I95" s="96" t="str">
        <f>IF(tbLancamentos[[#This Row],[Momento da falha]]="","",IFERROR(VLOOKUP(tbLancamentos[[#This Row],[Equipamento]],CadEqu!$F$7:$H$506,3,FALSE),""))</f>
        <v/>
      </c>
      <c r="J95" s="96" t="str">
        <f ca="1">IF(tbLancamentos[Tempo indisponível]="","",IF(tbLancamentos[Tempo indisponível]&lt;=tbLancamentos[Meta tempo reparo],0,tbLancamentos[Tempo indisponível]-tbLancamentos[Meta tempo reparo]))</f>
        <v/>
      </c>
      <c r="K9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5" s="97"/>
      <c r="M95" s="98" t="str">
        <f>IF(tbLancamentos[[#This Row],[Equipamento]]="","",IFERROR(INDEX(CadEqu!$C$7:$F$506,MATCH(tbLancamentos[[#This Row],[Equipamento]],CadEqu!$F$7:$F$506,0),1),""))</f>
        <v/>
      </c>
    </row>
    <row r="96" spans="2:13" x14ac:dyDescent="0.25">
      <c r="B96" s="2">
        <f>COUNTA($B$6:B95)</f>
        <v>90</v>
      </c>
      <c r="C96" s="94"/>
      <c r="D96" s="16" t="str">
        <f>IFERROR(IF(C96="","",INDEX(CadEqu!$E$7:$F$506,MATCH(tbLancamentos[[#This Row],[Equipamento]],CadEqu!$F$7:$F$506,0),1)),"")</f>
        <v/>
      </c>
      <c r="E96" s="94"/>
      <c r="F96" s="95"/>
      <c r="G96" s="95"/>
      <c r="H96" s="96" t="str">
        <f ca="1">IF(tbLancamentos[Momento da falha]="","",IF(tbLancamentos[Momento do retorno]="",NOW()-tbLancamentos[Momento da falha],tbLancamentos[Momento do retorno]-tbLancamentos[Momento da falha]))</f>
        <v/>
      </c>
      <c r="I96" s="96" t="str">
        <f>IF(tbLancamentos[[#This Row],[Momento da falha]]="","",IFERROR(VLOOKUP(tbLancamentos[[#This Row],[Equipamento]],CadEqu!$F$7:$H$506,3,FALSE),""))</f>
        <v/>
      </c>
      <c r="J96" s="96" t="str">
        <f ca="1">IF(tbLancamentos[Tempo indisponível]="","",IF(tbLancamentos[Tempo indisponível]&lt;=tbLancamentos[Meta tempo reparo],0,tbLancamentos[Tempo indisponível]-tbLancamentos[Meta tempo reparo]))</f>
        <v/>
      </c>
      <c r="K9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6" s="97"/>
      <c r="M96" s="98" t="str">
        <f>IF(tbLancamentos[[#This Row],[Equipamento]]="","",IFERROR(INDEX(CadEqu!$C$7:$F$506,MATCH(tbLancamentos[[#This Row],[Equipamento]],CadEqu!$F$7:$F$506,0),1),""))</f>
        <v/>
      </c>
    </row>
    <row r="97" spans="2:13" x14ac:dyDescent="0.25">
      <c r="B97" s="2">
        <f>COUNTA($B$6:B96)</f>
        <v>91</v>
      </c>
      <c r="C97" s="94"/>
      <c r="D97" s="16" t="str">
        <f>IFERROR(IF(C97="","",INDEX(CadEqu!$E$7:$F$506,MATCH(tbLancamentos[[#This Row],[Equipamento]],CadEqu!$F$7:$F$506,0),1)),"")</f>
        <v/>
      </c>
      <c r="E97" s="94"/>
      <c r="F97" s="95"/>
      <c r="G97" s="95"/>
      <c r="H97" s="96" t="str">
        <f ca="1">IF(tbLancamentos[Momento da falha]="","",IF(tbLancamentos[Momento do retorno]="",NOW()-tbLancamentos[Momento da falha],tbLancamentos[Momento do retorno]-tbLancamentos[Momento da falha]))</f>
        <v/>
      </c>
      <c r="I97" s="96" t="str">
        <f>IF(tbLancamentos[[#This Row],[Momento da falha]]="","",IFERROR(VLOOKUP(tbLancamentos[[#This Row],[Equipamento]],CadEqu!$F$7:$H$506,3,FALSE),""))</f>
        <v/>
      </c>
      <c r="J97" s="96" t="str">
        <f ca="1">IF(tbLancamentos[Tempo indisponível]="","",IF(tbLancamentos[Tempo indisponível]&lt;=tbLancamentos[Meta tempo reparo],0,tbLancamentos[Tempo indisponível]-tbLancamentos[Meta tempo reparo]))</f>
        <v/>
      </c>
      <c r="K9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7" s="97"/>
      <c r="M97" s="98" t="str">
        <f>IF(tbLancamentos[[#This Row],[Equipamento]]="","",IFERROR(INDEX(CadEqu!$C$7:$F$506,MATCH(tbLancamentos[[#This Row],[Equipamento]],CadEqu!$F$7:$F$506,0),1),""))</f>
        <v/>
      </c>
    </row>
    <row r="98" spans="2:13" x14ac:dyDescent="0.25">
      <c r="B98" s="2">
        <f>COUNTA($B$6:B97)</f>
        <v>92</v>
      </c>
      <c r="C98" s="94"/>
      <c r="D98" s="16" t="str">
        <f>IFERROR(IF(C98="","",INDEX(CadEqu!$E$7:$F$506,MATCH(tbLancamentos[[#This Row],[Equipamento]],CadEqu!$F$7:$F$506,0),1)),"")</f>
        <v/>
      </c>
      <c r="E98" s="94"/>
      <c r="F98" s="95"/>
      <c r="G98" s="95"/>
      <c r="H98" s="96" t="str">
        <f ca="1">IF(tbLancamentos[Momento da falha]="","",IF(tbLancamentos[Momento do retorno]="",NOW()-tbLancamentos[Momento da falha],tbLancamentos[Momento do retorno]-tbLancamentos[Momento da falha]))</f>
        <v/>
      </c>
      <c r="I98" s="96" t="str">
        <f>IF(tbLancamentos[[#This Row],[Momento da falha]]="","",IFERROR(VLOOKUP(tbLancamentos[[#This Row],[Equipamento]],CadEqu!$F$7:$H$506,3,FALSE),""))</f>
        <v/>
      </c>
      <c r="J98" s="96" t="str">
        <f ca="1">IF(tbLancamentos[Tempo indisponível]="","",IF(tbLancamentos[Tempo indisponível]&lt;=tbLancamentos[Meta tempo reparo],0,tbLancamentos[Tempo indisponível]-tbLancamentos[Meta tempo reparo]))</f>
        <v/>
      </c>
      <c r="K9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8" s="97"/>
      <c r="M98" s="98" t="str">
        <f>IF(tbLancamentos[[#This Row],[Equipamento]]="","",IFERROR(INDEX(CadEqu!$C$7:$F$506,MATCH(tbLancamentos[[#This Row],[Equipamento]],CadEqu!$F$7:$F$506,0),1),""))</f>
        <v/>
      </c>
    </row>
    <row r="99" spans="2:13" x14ac:dyDescent="0.25">
      <c r="B99" s="2">
        <f>COUNTA($B$6:B98)</f>
        <v>93</v>
      </c>
      <c r="C99" s="94"/>
      <c r="D99" s="16" t="str">
        <f>IFERROR(IF(C99="","",INDEX(CadEqu!$E$7:$F$506,MATCH(tbLancamentos[[#This Row],[Equipamento]],CadEqu!$F$7:$F$506,0),1)),"")</f>
        <v/>
      </c>
      <c r="E99" s="94"/>
      <c r="F99" s="95"/>
      <c r="G99" s="95"/>
      <c r="H99" s="96" t="str">
        <f ca="1">IF(tbLancamentos[Momento da falha]="","",IF(tbLancamentos[Momento do retorno]="",NOW()-tbLancamentos[Momento da falha],tbLancamentos[Momento do retorno]-tbLancamentos[Momento da falha]))</f>
        <v/>
      </c>
      <c r="I99" s="96" t="str">
        <f>IF(tbLancamentos[[#This Row],[Momento da falha]]="","",IFERROR(VLOOKUP(tbLancamentos[[#This Row],[Equipamento]],CadEqu!$F$7:$H$506,3,FALSE),""))</f>
        <v/>
      </c>
      <c r="J99" s="96" t="str">
        <f ca="1">IF(tbLancamentos[Tempo indisponível]="","",IF(tbLancamentos[Tempo indisponível]&lt;=tbLancamentos[Meta tempo reparo],0,tbLancamentos[Tempo indisponível]-tbLancamentos[Meta tempo reparo]))</f>
        <v/>
      </c>
      <c r="K9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99" s="97"/>
      <c r="M99" s="98" t="str">
        <f>IF(tbLancamentos[[#This Row],[Equipamento]]="","",IFERROR(INDEX(CadEqu!$C$7:$F$506,MATCH(tbLancamentos[[#This Row],[Equipamento]],CadEqu!$F$7:$F$506,0),1),""))</f>
        <v/>
      </c>
    </row>
    <row r="100" spans="2:13" x14ac:dyDescent="0.25">
      <c r="B100" s="2">
        <f>COUNTA($B$6:B99)</f>
        <v>94</v>
      </c>
      <c r="C100" s="94"/>
      <c r="D100" s="16" t="str">
        <f>IFERROR(IF(C100="","",INDEX(CadEqu!$E$7:$F$506,MATCH(tbLancamentos[[#This Row],[Equipamento]],CadEqu!$F$7:$F$506,0),1)),"")</f>
        <v/>
      </c>
      <c r="E100" s="94"/>
      <c r="F100" s="95"/>
      <c r="G100" s="95"/>
      <c r="H100" s="96" t="str">
        <f ca="1">IF(tbLancamentos[Momento da falha]="","",IF(tbLancamentos[Momento do retorno]="",NOW()-tbLancamentos[Momento da falha],tbLancamentos[Momento do retorno]-tbLancamentos[Momento da falha]))</f>
        <v/>
      </c>
      <c r="I100" s="96" t="str">
        <f>IF(tbLancamentos[[#This Row],[Momento da falha]]="","",IFERROR(VLOOKUP(tbLancamentos[[#This Row],[Equipamento]],CadEqu!$F$7:$H$506,3,FALSE),""))</f>
        <v/>
      </c>
      <c r="J100" s="96" t="str">
        <f ca="1">IF(tbLancamentos[Tempo indisponível]="","",IF(tbLancamentos[Tempo indisponível]&lt;=tbLancamentos[Meta tempo reparo],0,tbLancamentos[Tempo indisponível]-tbLancamentos[Meta tempo reparo]))</f>
        <v/>
      </c>
      <c r="K10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0" s="97"/>
      <c r="M100" s="98" t="str">
        <f>IF(tbLancamentos[[#This Row],[Equipamento]]="","",IFERROR(INDEX(CadEqu!$C$7:$F$506,MATCH(tbLancamentos[[#This Row],[Equipamento]],CadEqu!$F$7:$F$506,0),1),""))</f>
        <v/>
      </c>
    </row>
    <row r="101" spans="2:13" x14ac:dyDescent="0.25">
      <c r="B101" s="2">
        <f>COUNTA($B$6:B100)</f>
        <v>95</v>
      </c>
      <c r="C101" s="94"/>
      <c r="D101" s="16" t="str">
        <f>IFERROR(IF(C101="","",INDEX(CadEqu!$E$7:$F$506,MATCH(tbLancamentos[[#This Row],[Equipamento]],CadEqu!$F$7:$F$506,0),1)),"")</f>
        <v/>
      </c>
      <c r="E101" s="94"/>
      <c r="F101" s="95"/>
      <c r="G101" s="95"/>
      <c r="H101" s="96" t="str">
        <f ca="1">IF(tbLancamentos[Momento da falha]="","",IF(tbLancamentos[Momento do retorno]="",NOW()-tbLancamentos[Momento da falha],tbLancamentos[Momento do retorno]-tbLancamentos[Momento da falha]))</f>
        <v/>
      </c>
      <c r="I101" s="96" t="str">
        <f>IF(tbLancamentos[[#This Row],[Momento da falha]]="","",IFERROR(VLOOKUP(tbLancamentos[[#This Row],[Equipamento]],CadEqu!$F$7:$H$506,3,FALSE),""))</f>
        <v/>
      </c>
      <c r="J101" s="96" t="str">
        <f ca="1">IF(tbLancamentos[Tempo indisponível]="","",IF(tbLancamentos[Tempo indisponível]&lt;=tbLancamentos[Meta tempo reparo],0,tbLancamentos[Tempo indisponível]-tbLancamentos[Meta tempo reparo]))</f>
        <v/>
      </c>
      <c r="K10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1" s="97"/>
      <c r="M101" s="98" t="str">
        <f>IF(tbLancamentos[[#This Row],[Equipamento]]="","",IFERROR(INDEX(CadEqu!$C$7:$F$506,MATCH(tbLancamentos[[#This Row],[Equipamento]],CadEqu!$F$7:$F$506,0),1),""))</f>
        <v/>
      </c>
    </row>
    <row r="102" spans="2:13" x14ac:dyDescent="0.25">
      <c r="B102" s="2">
        <f>COUNTA($B$6:B101)</f>
        <v>96</v>
      </c>
      <c r="C102" s="94"/>
      <c r="D102" s="16" t="str">
        <f>IFERROR(IF(C102="","",INDEX(CadEqu!$E$7:$F$506,MATCH(tbLancamentos[[#This Row],[Equipamento]],CadEqu!$F$7:$F$506,0),1)),"")</f>
        <v/>
      </c>
      <c r="E102" s="94"/>
      <c r="F102" s="95"/>
      <c r="G102" s="95"/>
      <c r="H102" s="96" t="str">
        <f ca="1">IF(tbLancamentos[Momento da falha]="","",IF(tbLancamentos[Momento do retorno]="",NOW()-tbLancamentos[Momento da falha],tbLancamentos[Momento do retorno]-tbLancamentos[Momento da falha]))</f>
        <v/>
      </c>
      <c r="I102" s="96" t="str">
        <f>IF(tbLancamentos[[#This Row],[Momento da falha]]="","",IFERROR(VLOOKUP(tbLancamentos[[#This Row],[Equipamento]],CadEqu!$F$7:$H$506,3,FALSE),""))</f>
        <v/>
      </c>
      <c r="J102" s="96" t="str">
        <f ca="1">IF(tbLancamentos[Tempo indisponível]="","",IF(tbLancamentos[Tempo indisponível]&lt;=tbLancamentos[Meta tempo reparo],0,tbLancamentos[Tempo indisponível]-tbLancamentos[Meta tempo reparo]))</f>
        <v/>
      </c>
      <c r="K10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2" s="97"/>
      <c r="M102" s="98" t="str">
        <f>IF(tbLancamentos[[#This Row],[Equipamento]]="","",IFERROR(INDEX(CadEqu!$C$7:$F$506,MATCH(tbLancamentos[[#This Row],[Equipamento]],CadEqu!$F$7:$F$506,0),1),""))</f>
        <v/>
      </c>
    </row>
    <row r="103" spans="2:13" x14ac:dyDescent="0.25">
      <c r="B103" s="2">
        <f>COUNTA($B$6:B102)</f>
        <v>97</v>
      </c>
      <c r="C103" s="94"/>
      <c r="D103" s="16" t="str">
        <f>IFERROR(IF(C103="","",INDEX(CadEqu!$E$7:$F$506,MATCH(tbLancamentos[[#This Row],[Equipamento]],CadEqu!$F$7:$F$506,0),1)),"")</f>
        <v/>
      </c>
      <c r="E103" s="94"/>
      <c r="F103" s="95"/>
      <c r="G103" s="95"/>
      <c r="H103" s="96" t="str">
        <f ca="1">IF(tbLancamentos[Momento da falha]="","",IF(tbLancamentos[Momento do retorno]="",NOW()-tbLancamentos[Momento da falha],tbLancamentos[Momento do retorno]-tbLancamentos[Momento da falha]))</f>
        <v/>
      </c>
      <c r="I103" s="96" t="str">
        <f>IF(tbLancamentos[[#This Row],[Momento da falha]]="","",IFERROR(VLOOKUP(tbLancamentos[[#This Row],[Equipamento]],CadEqu!$F$7:$H$506,3,FALSE),""))</f>
        <v/>
      </c>
      <c r="J103" s="96" t="str">
        <f ca="1">IF(tbLancamentos[Tempo indisponível]="","",IF(tbLancamentos[Tempo indisponível]&lt;=tbLancamentos[Meta tempo reparo],0,tbLancamentos[Tempo indisponível]-tbLancamentos[Meta tempo reparo]))</f>
        <v/>
      </c>
      <c r="K10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3" s="97"/>
      <c r="M103" s="98" t="str">
        <f>IF(tbLancamentos[[#This Row],[Equipamento]]="","",IFERROR(INDEX(CadEqu!$C$7:$F$506,MATCH(tbLancamentos[[#This Row],[Equipamento]],CadEqu!$F$7:$F$506,0),1),""))</f>
        <v/>
      </c>
    </row>
    <row r="104" spans="2:13" x14ac:dyDescent="0.25">
      <c r="B104" s="2">
        <f>COUNTA($B$6:B103)</f>
        <v>98</v>
      </c>
      <c r="C104" s="94"/>
      <c r="D104" s="16" t="str">
        <f>IFERROR(IF(C104="","",INDEX(CadEqu!$E$7:$F$506,MATCH(tbLancamentos[[#This Row],[Equipamento]],CadEqu!$F$7:$F$506,0),1)),"")</f>
        <v/>
      </c>
      <c r="E104" s="94"/>
      <c r="F104" s="95"/>
      <c r="G104" s="95"/>
      <c r="H104" s="96" t="str">
        <f ca="1">IF(tbLancamentos[Momento da falha]="","",IF(tbLancamentos[Momento do retorno]="",NOW()-tbLancamentos[Momento da falha],tbLancamentos[Momento do retorno]-tbLancamentos[Momento da falha]))</f>
        <v/>
      </c>
      <c r="I104" s="96" t="str">
        <f>IF(tbLancamentos[[#This Row],[Momento da falha]]="","",IFERROR(VLOOKUP(tbLancamentos[[#This Row],[Equipamento]],CadEqu!$F$7:$H$506,3,FALSE),""))</f>
        <v/>
      </c>
      <c r="J104" s="96" t="str">
        <f ca="1">IF(tbLancamentos[Tempo indisponível]="","",IF(tbLancamentos[Tempo indisponível]&lt;=tbLancamentos[Meta tempo reparo],0,tbLancamentos[Tempo indisponível]-tbLancamentos[Meta tempo reparo]))</f>
        <v/>
      </c>
      <c r="K10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4" s="97"/>
      <c r="M104" s="98" t="str">
        <f>IF(tbLancamentos[[#This Row],[Equipamento]]="","",IFERROR(INDEX(CadEqu!$C$7:$F$506,MATCH(tbLancamentos[[#This Row],[Equipamento]],CadEqu!$F$7:$F$506,0),1),""))</f>
        <v/>
      </c>
    </row>
    <row r="105" spans="2:13" x14ac:dyDescent="0.25">
      <c r="B105" s="2">
        <f>COUNTA($B$6:B104)</f>
        <v>99</v>
      </c>
      <c r="C105" s="94"/>
      <c r="D105" s="16" t="str">
        <f>IFERROR(IF(C105="","",INDEX(CadEqu!$E$7:$F$506,MATCH(tbLancamentos[[#This Row],[Equipamento]],CadEqu!$F$7:$F$506,0),1)),"")</f>
        <v/>
      </c>
      <c r="E105" s="94"/>
      <c r="F105" s="95"/>
      <c r="G105" s="95"/>
      <c r="H105" s="96" t="str">
        <f ca="1">IF(tbLancamentos[Momento da falha]="","",IF(tbLancamentos[Momento do retorno]="",NOW()-tbLancamentos[Momento da falha],tbLancamentos[Momento do retorno]-tbLancamentos[Momento da falha]))</f>
        <v/>
      </c>
      <c r="I105" s="96" t="str">
        <f>IF(tbLancamentos[[#This Row],[Momento da falha]]="","",IFERROR(VLOOKUP(tbLancamentos[[#This Row],[Equipamento]],CadEqu!$F$7:$H$506,3,FALSE),""))</f>
        <v/>
      </c>
      <c r="J105" s="96" t="str">
        <f ca="1">IF(tbLancamentos[Tempo indisponível]="","",IF(tbLancamentos[Tempo indisponível]&lt;=tbLancamentos[Meta tempo reparo],0,tbLancamentos[Tempo indisponível]-tbLancamentos[Meta tempo reparo]))</f>
        <v/>
      </c>
      <c r="K10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5" s="97"/>
      <c r="M105" s="98" t="str">
        <f>IF(tbLancamentos[[#This Row],[Equipamento]]="","",IFERROR(INDEX(CadEqu!$C$7:$F$506,MATCH(tbLancamentos[[#This Row],[Equipamento]],CadEqu!$F$7:$F$506,0),1),""))</f>
        <v/>
      </c>
    </row>
    <row r="106" spans="2:13" x14ac:dyDescent="0.25">
      <c r="B106" s="2">
        <f>COUNTA($B$6:B105)</f>
        <v>100</v>
      </c>
      <c r="C106" s="94"/>
      <c r="D106" s="16" t="str">
        <f>IFERROR(IF(C106="","",INDEX(CadEqu!$E$7:$F$506,MATCH(tbLancamentos[[#This Row],[Equipamento]],CadEqu!$F$7:$F$506,0),1)),"")</f>
        <v/>
      </c>
      <c r="E106" s="94"/>
      <c r="F106" s="95"/>
      <c r="G106" s="95"/>
      <c r="H106" s="96" t="str">
        <f ca="1">IF(tbLancamentos[Momento da falha]="","",IF(tbLancamentos[Momento do retorno]="",NOW()-tbLancamentos[Momento da falha],tbLancamentos[Momento do retorno]-tbLancamentos[Momento da falha]))</f>
        <v/>
      </c>
      <c r="I106" s="96" t="str">
        <f>IF(tbLancamentos[[#This Row],[Momento da falha]]="","",IFERROR(VLOOKUP(tbLancamentos[[#This Row],[Equipamento]],CadEqu!$F$7:$H$506,3,FALSE),""))</f>
        <v/>
      </c>
      <c r="J106" s="96" t="str">
        <f ca="1">IF(tbLancamentos[Tempo indisponível]="","",IF(tbLancamentos[Tempo indisponível]&lt;=tbLancamentos[Meta tempo reparo],0,tbLancamentos[Tempo indisponível]-tbLancamentos[Meta tempo reparo]))</f>
        <v/>
      </c>
      <c r="K10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6" s="97"/>
      <c r="M106" s="98" t="str">
        <f>IF(tbLancamentos[[#This Row],[Equipamento]]="","",IFERROR(INDEX(CadEqu!$C$7:$F$506,MATCH(tbLancamentos[[#This Row],[Equipamento]],CadEqu!$F$7:$F$506,0),1),""))</f>
        <v/>
      </c>
    </row>
    <row r="107" spans="2:13" x14ac:dyDescent="0.25">
      <c r="B107" s="2">
        <f>COUNTA($B$6:B106)</f>
        <v>101</v>
      </c>
      <c r="C107" s="94"/>
      <c r="D107" s="16" t="str">
        <f>IFERROR(IF(C107="","",INDEX(CadEqu!$E$7:$F$506,MATCH(tbLancamentos[[#This Row],[Equipamento]],CadEqu!$F$7:$F$506,0),1)),"")</f>
        <v/>
      </c>
      <c r="E107" s="94"/>
      <c r="F107" s="95"/>
      <c r="G107" s="95"/>
      <c r="H107" s="96" t="str">
        <f ca="1">IF(tbLancamentos[Momento da falha]="","",IF(tbLancamentos[Momento do retorno]="",NOW()-tbLancamentos[Momento da falha],tbLancamentos[Momento do retorno]-tbLancamentos[Momento da falha]))</f>
        <v/>
      </c>
      <c r="I107" s="96" t="str">
        <f>IF(tbLancamentos[[#This Row],[Momento da falha]]="","",IFERROR(VLOOKUP(tbLancamentos[[#This Row],[Equipamento]],CadEqu!$F$7:$H$506,3,FALSE),""))</f>
        <v/>
      </c>
      <c r="J107" s="96" t="str">
        <f ca="1">IF(tbLancamentos[Tempo indisponível]="","",IF(tbLancamentos[Tempo indisponível]&lt;=tbLancamentos[Meta tempo reparo],0,tbLancamentos[Tempo indisponível]-tbLancamentos[Meta tempo reparo]))</f>
        <v/>
      </c>
      <c r="K10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7" s="97"/>
      <c r="M107" s="98" t="str">
        <f>IF(tbLancamentos[[#This Row],[Equipamento]]="","",IFERROR(INDEX(CadEqu!$C$7:$F$506,MATCH(tbLancamentos[[#This Row],[Equipamento]],CadEqu!$F$7:$F$506,0),1),""))</f>
        <v/>
      </c>
    </row>
    <row r="108" spans="2:13" x14ac:dyDescent="0.25">
      <c r="B108" s="2">
        <f>COUNTA($B$6:B107)</f>
        <v>102</v>
      </c>
      <c r="C108" s="94"/>
      <c r="D108" s="16" t="str">
        <f>IFERROR(IF(C108="","",INDEX(CadEqu!$E$7:$F$506,MATCH(tbLancamentos[[#This Row],[Equipamento]],CadEqu!$F$7:$F$506,0),1)),"")</f>
        <v/>
      </c>
      <c r="E108" s="94"/>
      <c r="F108" s="95"/>
      <c r="G108" s="95"/>
      <c r="H108" s="96" t="str">
        <f ca="1">IF(tbLancamentos[Momento da falha]="","",IF(tbLancamentos[Momento do retorno]="",NOW()-tbLancamentos[Momento da falha],tbLancamentos[Momento do retorno]-tbLancamentos[Momento da falha]))</f>
        <v/>
      </c>
      <c r="I108" s="96" t="str">
        <f>IF(tbLancamentos[[#This Row],[Momento da falha]]="","",IFERROR(VLOOKUP(tbLancamentos[[#This Row],[Equipamento]],CadEqu!$F$7:$H$506,3,FALSE),""))</f>
        <v/>
      </c>
      <c r="J108" s="96" t="str">
        <f ca="1">IF(tbLancamentos[Tempo indisponível]="","",IF(tbLancamentos[Tempo indisponível]&lt;=tbLancamentos[Meta tempo reparo],0,tbLancamentos[Tempo indisponível]-tbLancamentos[Meta tempo reparo]))</f>
        <v/>
      </c>
      <c r="K10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8" s="97"/>
      <c r="M108" s="98" t="str">
        <f>IF(tbLancamentos[[#This Row],[Equipamento]]="","",IFERROR(INDEX(CadEqu!$C$7:$F$506,MATCH(tbLancamentos[[#This Row],[Equipamento]],CadEqu!$F$7:$F$506,0),1),""))</f>
        <v/>
      </c>
    </row>
    <row r="109" spans="2:13" x14ac:dyDescent="0.25">
      <c r="B109" s="2">
        <f>COUNTA($B$6:B108)</f>
        <v>103</v>
      </c>
      <c r="C109" s="94"/>
      <c r="D109" s="16" t="str">
        <f>IFERROR(IF(C109="","",INDEX(CadEqu!$E$7:$F$506,MATCH(tbLancamentos[[#This Row],[Equipamento]],CadEqu!$F$7:$F$506,0),1)),"")</f>
        <v/>
      </c>
      <c r="E109" s="94"/>
      <c r="F109" s="95"/>
      <c r="G109" s="95"/>
      <c r="H109" s="96" t="str">
        <f ca="1">IF(tbLancamentos[Momento da falha]="","",IF(tbLancamentos[Momento do retorno]="",NOW()-tbLancamentos[Momento da falha],tbLancamentos[Momento do retorno]-tbLancamentos[Momento da falha]))</f>
        <v/>
      </c>
      <c r="I109" s="96" t="str">
        <f>IF(tbLancamentos[[#This Row],[Momento da falha]]="","",IFERROR(VLOOKUP(tbLancamentos[[#This Row],[Equipamento]],CadEqu!$F$7:$H$506,3,FALSE),""))</f>
        <v/>
      </c>
      <c r="J109" s="96" t="str">
        <f ca="1">IF(tbLancamentos[Tempo indisponível]="","",IF(tbLancamentos[Tempo indisponível]&lt;=tbLancamentos[Meta tempo reparo],0,tbLancamentos[Tempo indisponível]-tbLancamentos[Meta tempo reparo]))</f>
        <v/>
      </c>
      <c r="K10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09" s="97"/>
      <c r="M109" s="98" t="str">
        <f>IF(tbLancamentos[[#This Row],[Equipamento]]="","",IFERROR(INDEX(CadEqu!$C$7:$F$506,MATCH(tbLancamentos[[#This Row],[Equipamento]],CadEqu!$F$7:$F$506,0),1),""))</f>
        <v/>
      </c>
    </row>
    <row r="110" spans="2:13" x14ac:dyDescent="0.25">
      <c r="B110" s="2">
        <f>COUNTA($B$6:B109)</f>
        <v>104</v>
      </c>
      <c r="C110" s="94"/>
      <c r="D110" s="16" t="str">
        <f>IFERROR(IF(C110="","",INDEX(CadEqu!$E$7:$F$506,MATCH(tbLancamentos[[#This Row],[Equipamento]],CadEqu!$F$7:$F$506,0),1)),"")</f>
        <v/>
      </c>
      <c r="E110" s="94"/>
      <c r="F110" s="95"/>
      <c r="G110" s="95"/>
      <c r="H110" s="96" t="str">
        <f ca="1">IF(tbLancamentos[Momento da falha]="","",IF(tbLancamentos[Momento do retorno]="",NOW()-tbLancamentos[Momento da falha],tbLancamentos[Momento do retorno]-tbLancamentos[Momento da falha]))</f>
        <v/>
      </c>
      <c r="I110" s="96" t="str">
        <f>IF(tbLancamentos[[#This Row],[Momento da falha]]="","",IFERROR(VLOOKUP(tbLancamentos[[#This Row],[Equipamento]],CadEqu!$F$7:$H$506,3,FALSE),""))</f>
        <v/>
      </c>
      <c r="J110" s="96" t="str">
        <f ca="1">IF(tbLancamentos[Tempo indisponível]="","",IF(tbLancamentos[Tempo indisponível]&lt;=tbLancamentos[Meta tempo reparo],0,tbLancamentos[Tempo indisponível]-tbLancamentos[Meta tempo reparo]))</f>
        <v/>
      </c>
      <c r="K11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0" s="97"/>
      <c r="M110" s="98" t="str">
        <f>IF(tbLancamentos[[#This Row],[Equipamento]]="","",IFERROR(INDEX(CadEqu!$C$7:$F$506,MATCH(tbLancamentos[[#This Row],[Equipamento]],CadEqu!$F$7:$F$506,0),1),""))</f>
        <v/>
      </c>
    </row>
    <row r="111" spans="2:13" x14ac:dyDescent="0.25">
      <c r="B111" s="2">
        <f>COUNTA($B$6:B110)</f>
        <v>105</v>
      </c>
      <c r="C111" s="94"/>
      <c r="D111" s="16" t="str">
        <f>IFERROR(IF(C111="","",INDEX(CadEqu!$E$7:$F$506,MATCH(tbLancamentos[[#This Row],[Equipamento]],CadEqu!$F$7:$F$506,0),1)),"")</f>
        <v/>
      </c>
      <c r="E111" s="94"/>
      <c r="F111" s="95"/>
      <c r="G111" s="95"/>
      <c r="H111" s="96" t="str">
        <f ca="1">IF(tbLancamentos[Momento da falha]="","",IF(tbLancamentos[Momento do retorno]="",NOW()-tbLancamentos[Momento da falha],tbLancamentos[Momento do retorno]-tbLancamentos[Momento da falha]))</f>
        <v/>
      </c>
      <c r="I111" s="96" t="str">
        <f>IF(tbLancamentos[[#This Row],[Momento da falha]]="","",IFERROR(VLOOKUP(tbLancamentos[[#This Row],[Equipamento]],CadEqu!$F$7:$H$506,3,FALSE),""))</f>
        <v/>
      </c>
      <c r="J111" s="96" t="str">
        <f ca="1">IF(tbLancamentos[Tempo indisponível]="","",IF(tbLancamentos[Tempo indisponível]&lt;=tbLancamentos[Meta tempo reparo],0,tbLancamentos[Tempo indisponível]-tbLancamentos[Meta tempo reparo]))</f>
        <v/>
      </c>
      <c r="K11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1" s="97"/>
      <c r="M111" s="98" t="str">
        <f>IF(tbLancamentos[[#This Row],[Equipamento]]="","",IFERROR(INDEX(CadEqu!$C$7:$F$506,MATCH(tbLancamentos[[#This Row],[Equipamento]],CadEqu!$F$7:$F$506,0),1),""))</f>
        <v/>
      </c>
    </row>
    <row r="112" spans="2:13" x14ac:dyDescent="0.25">
      <c r="B112" s="2">
        <f>COUNTA($B$6:B111)</f>
        <v>106</v>
      </c>
      <c r="C112" s="94"/>
      <c r="D112" s="16" t="str">
        <f>IFERROR(IF(C112="","",INDEX(CadEqu!$E$7:$F$506,MATCH(tbLancamentos[[#This Row],[Equipamento]],CadEqu!$F$7:$F$506,0),1)),"")</f>
        <v/>
      </c>
      <c r="E112" s="94"/>
      <c r="F112" s="95"/>
      <c r="G112" s="95"/>
      <c r="H112" s="96" t="str">
        <f ca="1">IF(tbLancamentos[Momento da falha]="","",IF(tbLancamentos[Momento do retorno]="",NOW()-tbLancamentos[Momento da falha],tbLancamentos[Momento do retorno]-tbLancamentos[Momento da falha]))</f>
        <v/>
      </c>
      <c r="I112" s="96" t="str">
        <f>IF(tbLancamentos[[#This Row],[Momento da falha]]="","",IFERROR(VLOOKUP(tbLancamentos[[#This Row],[Equipamento]],CadEqu!$F$7:$H$506,3,FALSE),""))</f>
        <v/>
      </c>
      <c r="J112" s="96" t="str">
        <f ca="1">IF(tbLancamentos[Tempo indisponível]="","",IF(tbLancamentos[Tempo indisponível]&lt;=tbLancamentos[Meta tempo reparo],0,tbLancamentos[Tempo indisponível]-tbLancamentos[Meta tempo reparo]))</f>
        <v/>
      </c>
      <c r="K11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2" s="97"/>
      <c r="M112" s="98" t="str">
        <f>IF(tbLancamentos[[#This Row],[Equipamento]]="","",IFERROR(INDEX(CadEqu!$C$7:$F$506,MATCH(tbLancamentos[[#This Row],[Equipamento]],CadEqu!$F$7:$F$506,0),1),""))</f>
        <v/>
      </c>
    </row>
    <row r="113" spans="2:13" x14ac:dyDescent="0.25">
      <c r="B113" s="2">
        <f>COUNTA($B$6:B112)</f>
        <v>107</v>
      </c>
      <c r="C113" s="94"/>
      <c r="D113" s="16" t="str">
        <f>IFERROR(IF(C113="","",INDEX(CadEqu!$E$7:$F$506,MATCH(tbLancamentos[[#This Row],[Equipamento]],CadEqu!$F$7:$F$506,0),1)),"")</f>
        <v/>
      </c>
      <c r="E113" s="94"/>
      <c r="F113" s="95"/>
      <c r="G113" s="95"/>
      <c r="H113" s="96" t="str">
        <f ca="1">IF(tbLancamentos[Momento da falha]="","",IF(tbLancamentos[Momento do retorno]="",NOW()-tbLancamentos[Momento da falha],tbLancamentos[Momento do retorno]-tbLancamentos[Momento da falha]))</f>
        <v/>
      </c>
      <c r="I113" s="96" t="str">
        <f>IF(tbLancamentos[[#This Row],[Momento da falha]]="","",IFERROR(VLOOKUP(tbLancamentos[[#This Row],[Equipamento]],CadEqu!$F$7:$H$506,3,FALSE),""))</f>
        <v/>
      </c>
      <c r="J113" s="96" t="str">
        <f ca="1">IF(tbLancamentos[Tempo indisponível]="","",IF(tbLancamentos[Tempo indisponível]&lt;=tbLancamentos[Meta tempo reparo],0,tbLancamentos[Tempo indisponível]-tbLancamentos[Meta tempo reparo]))</f>
        <v/>
      </c>
      <c r="K11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3" s="97"/>
      <c r="M113" s="98" t="str">
        <f>IF(tbLancamentos[[#This Row],[Equipamento]]="","",IFERROR(INDEX(CadEqu!$C$7:$F$506,MATCH(tbLancamentos[[#This Row],[Equipamento]],CadEqu!$F$7:$F$506,0),1),""))</f>
        <v/>
      </c>
    </row>
    <row r="114" spans="2:13" x14ac:dyDescent="0.25">
      <c r="B114" s="2">
        <f>COUNTA($B$6:B113)</f>
        <v>108</v>
      </c>
      <c r="C114" s="94"/>
      <c r="D114" s="16" t="str">
        <f>IFERROR(IF(C114="","",INDEX(CadEqu!$E$7:$F$506,MATCH(tbLancamentos[[#This Row],[Equipamento]],CadEqu!$F$7:$F$506,0),1)),"")</f>
        <v/>
      </c>
      <c r="E114" s="94"/>
      <c r="F114" s="95"/>
      <c r="G114" s="95"/>
      <c r="H114" s="96" t="str">
        <f ca="1">IF(tbLancamentos[Momento da falha]="","",IF(tbLancamentos[Momento do retorno]="",NOW()-tbLancamentos[Momento da falha],tbLancamentos[Momento do retorno]-tbLancamentos[Momento da falha]))</f>
        <v/>
      </c>
      <c r="I114" s="96" t="str">
        <f>IF(tbLancamentos[[#This Row],[Momento da falha]]="","",IFERROR(VLOOKUP(tbLancamentos[[#This Row],[Equipamento]],CadEqu!$F$7:$H$506,3,FALSE),""))</f>
        <v/>
      </c>
      <c r="J114" s="96" t="str">
        <f ca="1">IF(tbLancamentos[Tempo indisponível]="","",IF(tbLancamentos[Tempo indisponível]&lt;=tbLancamentos[Meta tempo reparo],0,tbLancamentos[Tempo indisponível]-tbLancamentos[Meta tempo reparo]))</f>
        <v/>
      </c>
      <c r="K11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4" s="97"/>
      <c r="M114" s="98" t="str">
        <f>IF(tbLancamentos[[#This Row],[Equipamento]]="","",IFERROR(INDEX(CadEqu!$C$7:$F$506,MATCH(tbLancamentos[[#This Row],[Equipamento]],CadEqu!$F$7:$F$506,0),1),""))</f>
        <v/>
      </c>
    </row>
    <row r="115" spans="2:13" x14ac:dyDescent="0.25">
      <c r="B115" s="2">
        <f>COUNTA($B$6:B114)</f>
        <v>109</v>
      </c>
      <c r="C115" s="94"/>
      <c r="D115" s="16" t="str">
        <f>IFERROR(IF(C115="","",INDEX(CadEqu!$E$7:$F$506,MATCH(tbLancamentos[[#This Row],[Equipamento]],CadEqu!$F$7:$F$506,0),1)),"")</f>
        <v/>
      </c>
      <c r="E115" s="94"/>
      <c r="F115" s="95"/>
      <c r="G115" s="95"/>
      <c r="H115" s="96" t="str">
        <f ca="1">IF(tbLancamentos[Momento da falha]="","",IF(tbLancamentos[Momento do retorno]="",NOW()-tbLancamentos[Momento da falha],tbLancamentos[Momento do retorno]-tbLancamentos[Momento da falha]))</f>
        <v/>
      </c>
      <c r="I115" s="96" t="str">
        <f>IF(tbLancamentos[[#This Row],[Momento da falha]]="","",IFERROR(VLOOKUP(tbLancamentos[[#This Row],[Equipamento]],CadEqu!$F$7:$H$506,3,FALSE),""))</f>
        <v/>
      </c>
      <c r="J115" s="96" t="str">
        <f ca="1">IF(tbLancamentos[Tempo indisponível]="","",IF(tbLancamentos[Tempo indisponível]&lt;=tbLancamentos[Meta tempo reparo],0,tbLancamentos[Tempo indisponível]-tbLancamentos[Meta tempo reparo]))</f>
        <v/>
      </c>
      <c r="K11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5" s="97"/>
      <c r="M115" s="98" t="str">
        <f>IF(tbLancamentos[[#This Row],[Equipamento]]="","",IFERROR(INDEX(CadEqu!$C$7:$F$506,MATCH(tbLancamentos[[#This Row],[Equipamento]],CadEqu!$F$7:$F$506,0),1),""))</f>
        <v/>
      </c>
    </row>
    <row r="116" spans="2:13" x14ac:dyDescent="0.25">
      <c r="B116" s="2">
        <f>COUNTA($B$6:B115)</f>
        <v>110</v>
      </c>
      <c r="C116" s="94"/>
      <c r="D116" s="16" t="str">
        <f>IFERROR(IF(C116="","",INDEX(CadEqu!$E$7:$F$506,MATCH(tbLancamentos[[#This Row],[Equipamento]],CadEqu!$F$7:$F$506,0),1)),"")</f>
        <v/>
      </c>
      <c r="E116" s="94"/>
      <c r="F116" s="95"/>
      <c r="G116" s="95"/>
      <c r="H116" s="96" t="str">
        <f ca="1">IF(tbLancamentos[Momento da falha]="","",IF(tbLancamentos[Momento do retorno]="",NOW()-tbLancamentos[Momento da falha],tbLancamentos[Momento do retorno]-tbLancamentos[Momento da falha]))</f>
        <v/>
      </c>
      <c r="I116" s="96" t="str">
        <f>IF(tbLancamentos[[#This Row],[Momento da falha]]="","",IFERROR(VLOOKUP(tbLancamentos[[#This Row],[Equipamento]],CadEqu!$F$7:$H$506,3,FALSE),""))</f>
        <v/>
      </c>
      <c r="J116" s="96" t="str">
        <f ca="1">IF(tbLancamentos[Tempo indisponível]="","",IF(tbLancamentos[Tempo indisponível]&lt;=tbLancamentos[Meta tempo reparo],0,tbLancamentos[Tempo indisponível]-tbLancamentos[Meta tempo reparo]))</f>
        <v/>
      </c>
      <c r="K11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6" s="97"/>
      <c r="M116" s="98" t="str">
        <f>IF(tbLancamentos[[#This Row],[Equipamento]]="","",IFERROR(INDEX(CadEqu!$C$7:$F$506,MATCH(tbLancamentos[[#This Row],[Equipamento]],CadEqu!$F$7:$F$506,0),1),""))</f>
        <v/>
      </c>
    </row>
    <row r="117" spans="2:13" x14ac:dyDescent="0.25">
      <c r="B117" s="2">
        <f>COUNTA($B$6:B116)</f>
        <v>111</v>
      </c>
      <c r="C117" s="94"/>
      <c r="D117" s="16" t="str">
        <f>IFERROR(IF(C117="","",INDEX(CadEqu!$E$7:$F$506,MATCH(tbLancamentos[[#This Row],[Equipamento]],CadEqu!$F$7:$F$506,0),1)),"")</f>
        <v/>
      </c>
      <c r="E117" s="94"/>
      <c r="F117" s="95"/>
      <c r="G117" s="95"/>
      <c r="H117" s="96" t="str">
        <f ca="1">IF(tbLancamentos[Momento da falha]="","",IF(tbLancamentos[Momento do retorno]="",NOW()-tbLancamentos[Momento da falha],tbLancamentos[Momento do retorno]-tbLancamentos[Momento da falha]))</f>
        <v/>
      </c>
      <c r="I117" s="96" t="str">
        <f>IF(tbLancamentos[[#This Row],[Momento da falha]]="","",IFERROR(VLOOKUP(tbLancamentos[[#This Row],[Equipamento]],CadEqu!$F$7:$H$506,3,FALSE),""))</f>
        <v/>
      </c>
      <c r="J117" s="96" t="str">
        <f ca="1">IF(tbLancamentos[Tempo indisponível]="","",IF(tbLancamentos[Tempo indisponível]&lt;=tbLancamentos[Meta tempo reparo],0,tbLancamentos[Tempo indisponível]-tbLancamentos[Meta tempo reparo]))</f>
        <v/>
      </c>
      <c r="K11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7" s="97"/>
      <c r="M117" s="98" t="str">
        <f>IF(tbLancamentos[[#This Row],[Equipamento]]="","",IFERROR(INDEX(CadEqu!$C$7:$F$506,MATCH(tbLancamentos[[#This Row],[Equipamento]],CadEqu!$F$7:$F$506,0),1),""))</f>
        <v/>
      </c>
    </row>
    <row r="118" spans="2:13" x14ac:dyDescent="0.25">
      <c r="B118" s="2">
        <f>COUNTA($B$6:B117)</f>
        <v>112</v>
      </c>
      <c r="C118" s="94"/>
      <c r="D118" s="16" t="str">
        <f>IFERROR(IF(C118="","",INDEX(CadEqu!$E$7:$F$506,MATCH(tbLancamentos[[#This Row],[Equipamento]],CadEqu!$F$7:$F$506,0),1)),"")</f>
        <v/>
      </c>
      <c r="E118" s="94"/>
      <c r="F118" s="95"/>
      <c r="G118" s="95"/>
      <c r="H118" s="96" t="str">
        <f ca="1">IF(tbLancamentos[Momento da falha]="","",IF(tbLancamentos[Momento do retorno]="",NOW()-tbLancamentos[Momento da falha],tbLancamentos[Momento do retorno]-tbLancamentos[Momento da falha]))</f>
        <v/>
      </c>
      <c r="I118" s="96" t="str">
        <f>IF(tbLancamentos[[#This Row],[Momento da falha]]="","",IFERROR(VLOOKUP(tbLancamentos[[#This Row],[Equipamento]],CadEqu!$F$7:$H$506,3,FALSE),""))</f>
        <v/>
      </c>
      <c r="J118" s="96" t="str">
        <f ca="1">IF(tbLancamentos[Tempo indisponível]="","",IF(tbLancamentos[Tempo indisponível]&lt;=tbLancamentos[Meta tempo reparo],0,tbLancamentos[Tempo indisponível]-tbLancamentos[Meta tempo reparo]))</f>
        <v/>
      </c>
      <c r="K11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8" s="97"/>
      <c r="M118" s="98" t="str">
        <f>IF(tbLancamentos[[#This Row],[Equipamento]]="","",IFERROR(INDEX(CadEqu!$C$7:$F$506,MATCH(tbLancamentos[[#This Row],[Equipamento]],CadEqu!$F$7:$F$506,0),1),""))</f>
        <v/>
      </c>
    </row>
    <row r="119" spans="2:13" x14ac:dyDescent="0.25">
      <c r="B119" s="2">
        <f>COUNTA($B$6:B118)</f>
        <v>113</v>
      </c>
      <c r="C119" s="94"/>
      <c r="D119" s="16" t="str">
        <f>IFERROR(IF(C119="","",INDEX(CadEqu!$E$7:$F$506,MATCH(tbLancamentos[[#This Row],[Equipamento]],CadEqu!$F$7:$F$506,0),1)),"")</f>
        <v/>
      </c>
      <c r="E119" s="94"/>
      <c r="F119" s="95"/>
      <c r="G119" s="95"/>
      <c r="H119" s="96" t="str">
        <f ca="1">IF(tbLancamentos[Momento da falha]="","",IF(tbLancamentos[Momento do retorno]="",NOW()-tbLancamentos[Momento da falha],tbLancamentos[Momento do retorno]-tbLancamentos[Momento da falha]))</f>
        <v/>
      </c>
      <c r="I119" s="96" t="str">
        <f>IF(tbLancamentos[[#This Row],[Momento da falha]]="","",IFERROR(VLOOKUP(tbLancamentos[[#This Row],[Equipamento]],CadEqu!$F$7:$H$506,3,FALSE),""))</f>
        <v/>
      </c>
      <c r="J119" s="96" t="str">
        <f ca="1">IF(tbLancamentos[Tempo indisponível]="","",IF(tbLancamentos[Tempo indisponível]&lt;=tbLancamentos[Meta tempo reparo],0,tbLancamentos[Tempo indisponível]-tbLancamentos[Meta tempo reparo]))</f>
        <v/>
      </c>
      <c r="K11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19" s="97"/>
      <c r="M119" s="98" t="str">
        <f>IF(tbLancamentos[[#This Row],[Equipamento]]="","",IFERROR(INDEX(CadEqu!$C$7:$F$506,MATCH(tbLancamentos[[#This Row],[Equipamento]],CadEqu!$F$7:$F$506,0),1),""))</f>
        <v/>
      </c>
    </row>
    <row r="120" spans="2:13" x14ac:dyDescent="0.25">
      <c r="B120" s="2">
        <f>COUNTA($B$6:B119)</f>
        <v>114</v>
      </c>
      <c r="C120" s="94"/>
      <c r="D120" s="16" t="str">
        <f>IFERROR(IF(C120="","",INDEX(CadEqu!$E$7:$F$506,MATCH(tbLancamentos[[#This Row],[Equipamento]],CadEqu!$F$7:$F$506,0),1)),"")</f>
        <v/>
      </c>
      <c r="E120" s="94"/>
      <c r="F120" s="95"/>
      <c r="G120" s="95"/>
      <c r="H120" s="96" t="str">
        <f ca="1">IF(tbLancamentos[Momento da falha]="","",IF(tbLancamentos[Momento do retorno]="",NOW()-tbLancamentos[Momento da falha],tbLancamentos[Momento do retorno]-tbLancamentos[Momento da falha]))</f>
        <v/>
      </c>
      <c r="I120" s="96" t="str">
        <f>IF(tbLancamentos[[#This Row],[Momento da falha]]="","",IFERROR(VLOOKUP(tbLancamentos[[#This Row],[Equipamento]],CadEqu!$F$7:$H$506,3,FALSE),""))</f>
        <v/>
      </c>
      <c r="J120" s="96" t="str">
        <f ca="1">IF(tbLancamentos[Tempo indisponível]="","",IF(tbLancamentos[Tempo indisponível]&lt;=tbLancamentos[Meta tempo reparo],0,tbLancamentos[Tempo indisponível]-tbLancamentos[Meta tempo reparo]))</f>
        <v/>
      </c>
      <c r="K12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0" s="97"/>
      <c r="M120" s="98" t="str">
        <f>IF(tbLancamentos[[#This Row],[Equipamento]]="","",IFERROR(INDEX(CadEqu!$C$7:$F$506,MATCH(tbLancamentos[[#This Row],[Equipamento]],CadEqu!$F$7:$F$506,0),1),""))</f>
        <v/>
      </c>
    </row>
    <row r="121" spans="2:13" x14ac:dyDescent="0.25">
      <c r="B121" s="2">
        <f>COUNTA($B$6:B120)</f>
        <v>115</v>
      </c>
      <c r="C121" s="94"/>
      <c r="D121" s="16" t="str">
        <f>IFERROR(IF(C121="","",INDEX(CadEqu!$E$7:$F$506,MATCH(tbLancamentos[[#This Row],[Equipamento]],CadEqu!$F$7:$F$506,0),1)),"")</f>
        <v/>
      </c>
      <c r="E121" s="94"/>
      <c r="F121" s="95"/>
      <c r="G121" s="95"/>
      <c r="H121" s="96" t="str">
        <f ca="1">IF(tbLancamentos[Momento da falha]="","",IF(tbLancamentos[Momento do retorno]="",NOW()-tbLancamentos[Momento da falha],tbLancamentos[Momento do retorno]-tbLancamentos[Momento da falha]))</f>
        <v/>
      </c>
      <c r="I121" s="96" t="str">
        <f>IF(tbLancamentos[[#This Row],[Momento da falha]]="","",IFERROR(VLOOKUP(tbLancamentos[[#This Row],[Equipamento]],CadEqu!$F$7:$H$506,3,FALSE),""))</f>
        <v/>
      </c>
      <c r="J121" s="96" t="str">
        <f ca="1">IF(tbLancamentos[Tempo indisponível]="","",IF(tbLancamentos[Tempo indisponível]&lt;=tbLancamentos[Meta tempo reparo],0,tbLancamentos[Tempo indisponível]-tbLancamentos[Meta tempo reparo]))</f>
        <v/>
      </c>
      <c r="K12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1" s="97"/>
      <c r="M121" s="98" t="str">
        <f>IF(tbLancamentos[[#This Row],[Equipamento]]="","",IFERROR(INDEX(CadEqu!$C$7:$F$506,MATCH(tbLancamentos[[#This Row],[Equipamento]],CadEqu!$F$7:$F$506,0),1),""))</f>
        <v/>
      </c>
    </row>
    <row r="122" spans="2:13" x14ac:dyDescent="0.25">
      <c r="B122" s="2">
        <f>COUNTA($B$6:B121)</f>
        <v>116</v>
      </c>
      <c r="C122" s="94"/>
      <c r="D122" s="16" t="str">
        <f>IFERROR(IF(C122="","",INDEX(CadEqu!$E$7:$F$506,MATCH(tbLancamentos[[#This Row],[Equipamento]],CadEqu!$F$7:$F$506,0),1)),"")</f>
        <v/>
      </c>
      <c r="E122" s="94"/>
      <c r="F122" s="95"/>
      <c r="G122" s="95"/>
      <c r="H122" s="96" t="str">
        <f ca="1">IF(tbLancamentos[Momento da falha]="","",IF(tbLancamentos[Momento do retorno]="",NOW()-tbLancamentos[Momento da falha],tbLancamentos[Momento do retorno]-tbLancamentos[Momento da falha]))</f>
        <v/>
      </c>
      <c r="I122" s="96" t="str">
        <f>IF(tbLancamentos[[#This Row],[Momento da falha]]="","",IFERROR(VLOOKUP(tbLancamentos[[#This Row],[Equipamento]],CadEqu!$F$7:$H$506,3,FALSE),""))</f>
        <v/>
      </c>
      <c r="J122" s="96" t="str">
        <f ca="1">IF(tbLancamentos[Tempo indisponível]="","",IF(tbLancamentos[Tempo indisponível]&lt;=tbLancamentos[Meta tempo reparo],0,tbLancamentos[Tempo indisponível]-tbLancamentos[Meta tempo reparo]))</f>
        <v/>
      </c>
      <c r="K12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2" s="97"/>
      <c r="M122" s="98" t="str">
        <f>IF(tbLancamentos[[#This Row],[Equipamento]]="","",IFERROR(INDEX(CadEqu!$C$7:$F$506,MATCH(tbLancamentos[[#This Row],[Equipamento]],CadEqu!$F$7:$F$506,0),1),""))</f>
        <v/>
      </c>
    </row>
    <row r="123" spans="2:13" x14ac:dyDescent="0.25">
      <c r="B123" s="2">
        <f>COUNTA($B$6:B122)</f>
        <v>117</v>
      </c>
      <c r="C123" s="94"/>
      <c r="D123" s="16" t="str">
        <f>IFERROR(IF(C123="","",INDEX(CadEqu!$E$7:$F$506,MATCH(tbLancamentos[[#This Row],[Equipamento]],CadEqu!$F$7:$F$506,0),1)),"")</f>
        <v/>
      </c>
      <c r="E123" s="94"/>
      <c r="F123" s="95"/>
      <c r="G123" s="95"/>
      <c r="H123" s="96" t="str">
        <f ca="1">IF(tbLancamentos[Momento da falha]="","",IF(tbLancamentos[Momento do retorno]="",NOW()-tbLancamentos[Momento da falha],tbLancamentos[Momento do retorno]-tbLancamentos[Momento da falha]))</f>
        <v/>
      </c>
      <c r="I123" s="96" t="str">
        <f>IF(tbLancamentos[[#This Row],[Momento da falha]]="","",IFERROR(VLOOKUP(tbLancamentos[[#This Row],[Equipamento]],CadEqu!$F$7:$H$506,3,FALSE),""))</f>
        <v/>
      </c>
      <c r="J123" s="96" t="str">
        <f ca="1">IF(tbLancamentos[Tempo indisponível]="","",IF(tbLancamentos[Tempo indisponível]&lt;=tbLancamentos[Meta tempo reparo],0,tbLancamentos[Tempo indisponível]-tbLancamentos[Meta tempo reparo]))</f>
        <v/>
      </c>
      <c r="K12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3" s="97"/>
      <c r="M123" s="98" t="str">
        <f>IF(tbLancamentos[[#This Row],[Equipamento]]="","",IFERROR(INDEX(CadEqu!$C$7:$F$506,MATCH(tbLancamentos[[#This Row],[Equipamento]],CadEqu!$F$7:$F$506,0),1),""))</f>
        <v/>
      </c>
    </row>
    <row r="124" spans="2:13" x14ac:dyDescent="0.25">
      <c r="B124" s="2">
        <f>COUNTA($B$6:B123)</f>
        <v>118</v>
      </c>
      <c r="C124" s="94"/>
      <c r="D124" s="16" t="str">
        <f>IFERROR(IF(C124="","",INDEX(CadEqu!$E$7:$F$506,MATCH(tbLancamentos[[#This Row],[Equipamento]],CadEqu!$F$7:$F$506,0),1)),"")</f>
        <v/>
      </c>
      <c r="E124" s="94"/>
      <c r="F124" s="95"/>
      <c r="G124" s="95"/>
      <c r="H124" s="96" t="str">
        <f ca="1">IF(tbLancamentos[Momento da falha]="","",IF(tbLancamentos[Momento do retorno]="",NOW()-tbLancamentos[Momento da falha],tbLancamentos[Momento do retorno]-tbLancamentos[Momento da falha]))</f>
        <v/>
      </c>
      <c r="I124" s="96" t="str">
        <f>IF(tbLancamentos[[#This Row],[Momento da falha]]="","",IFERROR(VLOOKUP(tbLancamentos[[#This Row],[Equipamento]],CadEqu!$F$7:$H$506,3,FALSE),""))</f>
        <v/>
      </c>
      <c r="J124" s="96" t="str">
        <f ca="1">IF(tbLancamentos[Tempo indisponível]="","",IF(tbLancamentos[Tempo indisponível]&lt;=tbLancamentos[Meta tempo reparo],0,tbLancamentos[Tempo indisponível]-tbLancamentos[Meta tempo reparo]))</f>
        <v/>
      </c>
      <c r="K12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4" s="97"/>
      <c r="M124" s="98" t="str">
        <f>IF(tbLancamentos[[#This Row],[Equipamento]]="","",IFERROR(INDEX(CadEqu!$C$7:$F$506,MATCH(tbLancamentos[[#This Row],[Equipamento]],CadEqu!$F$7:$F$506,0),1),""))</f>
        <v/>
      </c>
    </row>
    <row r="125" spans="2:13" x14ac:dyDescent="0.25">
      <c r="B125" s="2">
        <f>COUNTA($B$6:B124)</f>
        <v>119</v>
      </c>
      <c r="C125" s="94"/>
      <c r="D125" s="16" t="str">
        <f>IFERROR(IF(C125="","",INDEX(CadEqu!$E$7:$F$506,MATCH(tbLancamentos[[#This Row],[Equipamento]],CadEqu!$F$7:$F$506,0),1)),"")</f>
        <v/>
      </c>
      <c r="E125" s="94"/>
      <c r="F125" s="95"/>
      <c r="G125" s="95"/>
      <c r="H125" s="96" t="str">
        <f ca="1">IF(tbLancamentos[Momento da falha]="","",IF(tbLancamentos[Momento do retorno]="",NOW()-tbLancamentos[Momento da falha],tbLancamentos[Momento do retorno]-tbLancamentos[Momento da falha]))</f>
        <v/>
      </c>
      <c r="I125" s="96" t="str">
        <f>IF(tbLancamentos[[#This Row],[Momento da falha]]="","",IFERROR(VLOOKUP(tbLancamentos[[#This Row],[Equipamento]],CadEqu!$F$7:$H$506,3,FALSE),""))</f>
        <v/>
      </c>
      <c r="J125" s="96" t="str">
        <f ca="1">IF(tbLancamentos[Tempo indisponível]="","",IF(tbLancamentos[Tempo indisponível]&lt;=tbLancamentos[Meta tempo reparo],0,tbLancamentos[Tempo indisponível]-tbLancamentos[Meta tempo reparo]))</f>
        <v/>
      </c>
      <c r="K12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5" s="97"/>
      <c r="M125" s="98" t="str">
        <f>IF(tbLancamentos[[#This Row],[Equipamento]]="","",IFERROR(INDEX(CadEqu!$C$7:$F$506,MATCH(tbLancamentos[[#This Row],[Equipamento]],CadEqu!$F$7:$F$506,0),1),""))</f>
        <v/>
      </c>
    </row>
    <row r="126" spans="2:13" x14ac:dyDescent="0.25">
      <c r="B126" s="2">
        <f>COUNTA($B$6:B125)</f>
        <v>120</v>
      </c>
      <c r="C126" s="94"/>
      <c r="D126" s="16" t="str">
        <f>IFERROR(IF(C126="","",INDEX(CadEqu!$E$7:$F$506,MATCH(tbLancamentos[[#This Row],[Equipamento]],CadEqu!$F$7:$F$506,0),1)),"")</f>
        <v/>
      </c>
      <c r="E126" s="94"/>
      <c r="F126" s="95"/>
      <c r="G126" s="95"/>
      <c r="H126" s="96" t="str">
        <f ca="1">IF(tbLancamentos[Momento da falha]="","",IF(tbLancamentos[Momento do retorno]="",NOW()-tbLancamentos[Momento da falha],tbLancamentos[Momento do retorno]-tbLancamentos[Momento da falha]))</f>
        <v/>
      </c>
      <c r="I126" s="96" t="str">
        <f>IF(tbLancamentos[[#This Row],[Momento da falha]]="","",IFERROR(VLOOKUP(tbLancamentos[[#This Row],[Equipamento]],CadEqu!$F$7:$H$506,3,FALSE),""))</f>
        <v/>
      </c>
      <c r="J126" s="96" t="str">
        <f ca="1">IF(tbLancamentos[Tempo indisponível]="","",IF(tbLancamentos[Tempo indisponível]&lt;=tbLancamentos[Meta tempo reparo],0,tbLancamentos[Tempo indisponível]-tbLancamentos[Meta tempo reparo]))</f>
        <v/>
      </c>
      <c r="K12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6" s="97"/>
      <c r="M126" s="98" t="str">
        <f>IF(tbLancamentos[[#This Row],[Equipamento]]="","",IFERROR(INDEX(CadEqu!$C$7:$F$506,MATCH(tbLancamentos[[#This Row],[Equipamento]],CadEqu!$F$7:$F$506,0),1),""))</f>
        <v/>
      </c>
    </row>
    <row r="127" spans="2:13" x14ac:dyDescent="0.25">
      <c r="B127" s="2">
        <f>COUNTA($B$6:B126)</f>
        <v>121</v>
      </c>
      <c r="C127" s="94"/>
      <c r="D127" s="16" t="str">
        <f>IFERROR(IF(C127="","",INDEX(CadEqu!$E$7:$F$506,MATCH(tbLancamentos[[#This Row],[Equipamento]],CadEqu!$F$7:$F$506,0),1)),"")</f>
        <v/>
      </c>
      <c r="E127" s="94"/>
      <c r="F127" s="95"/>
      <c r="G127" s="95"/>
      <c r="H127" s="96" t="str">
        <f ca="1">IF(tbLancamentos[Momento da falha]="","",IF(tbLancamentos[Momento do retorno]="",NOW()-tbLancamentos[Momento da falha],tbLancamentos[Momento do retorno]-tbLancamentos[Momento da falha]))</f>
        <v/>
      </c>
      <c r="I127" s="96" t="str">
        <f>IF(tbLancamentos[[#This Row],[Momento da falha]]="","",IFERROR(VLOOKUP(tbLancamentos[[#This Row],[Equipamento]],CadEqu!$F$7:$H$506,3,FALSE),""))</f>
        <v/>
      </c>
      <c r="J127" s="96" t="str">
        <f ca="1">IF(tbLancamentos[Tempo indisponível]="","",IF(tbLancamentos[Tempo indisponível]&lt;=tbLancamentos[Meta tempo reparo],0,tbLancamentos[Tempo indisponível]-tbLancamentos[Meta tempo reparo]))</f>
        <v/>
      </c>
      <c r="K12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7" s="97"/>
      <c r="M127" s="98" t="str">
        <f>IF(tbLancamentos[[#This Row],[Equipamento]]="","",IFERROR(INDEX(CadEqu!$C$7:$F$506,MATCH(tbLancamentos[[#This Row],[Equipamento]],CadEqu!$F$7:$F$506,0),1),""))</f>
        <v/>
      </c>
    </row>
    <row r="128" spans="2:13" x14ac:dyDescent="0.25">
      <c r="B128" s="2">
        <f>COUNTA($B$6:B127)</f>
        <v>122</v>
      </c>
      <c r="C128" s="94"/>
      <c r="D128" s="16" t="str">
        <f>IFERROR(IF(C128="","",INDEX(CadEqu!$E$7:$F$506,MATCH(tbLancamentos[[#This Row],[Equipamento]],CadEqu!$F$7:$F$506,0),1)),"")</f>
        <v/>
      </c>
      <c r="E128" s="94"/>
      <c r="F128" s="95"/>
      <c r="G128" s="95"/>
      <c r="H128" s="96" t="str">
        <f ca="1">IF(tbLancamentos[Momento da falha]="","",IF(tbLancamentos[Momento do retorno]="",NOW()-tbLancamentos[Momento da falha],tbLancamentos[Momento do retorno]-tbLancamentos[Momento da falha]))</f>
        <v/>
      </c>
      <c r="I128" s="96" t="str">
        <f>IF(tbLancamentos[[#This Row],[Momento da falha]]="","",IFERROR(VLOOKUP(tbLancamentos[[#This Row],[Equipamento]],CadEqu!$F$7:$H$506,3,FALSE),""))</f>
        <v/>
      </c>
      <c r="J128" s="96" t="str">
        <f ca="1">IF(tbLancamentos[Tempo indisponível]="","",IF(tbLancamentos[Tempo indisponível]&lt;=tbLancamentos[Meta tempo reparo],0,tbLancamentos[Tempo indisponível]-tbLancamentos[Meta tempo reparo]))</f>
        <v/>
      </c>
      <c r="K12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8" s="97"/>
      <c r="M128" s="98" t="str">
        <f>IF(tbLancamentos[[#This Row],[Equipamento]]="","",IFERROR(INDEX(CadEqu!$C$7:$F$506,MATCH(tbLancamentos[[#This Row],[Equipamento]],CadEqu!$F$7:$F$506,0),1),""))</f>
        <v/>
      </c>
    </row>
    <row r="129" spans="2:13" x14ac:dyDescent="0.25">
      <c r="B129" s="2">
        <f>COUNTA($B$6:B128)</f>
        <v>123</v>
      </c>
      <c r="C129" s="94"/>
      <c r="D129" s="16" t="str">
        <f>IFERROR(IF(C129="","",INDEX(CadEqu!$E$7:$F$506,MATCH(tbLancamentos[[#This Row],[Equipamento]],CadEqu!$F$7:$F$506,0),1)),"")</f>
        <v/>
      </c>
      <c r="E129" s="94"/>
      <c r="F129" s="95"/>
      <c r="G129" s="95"/>
      <c r="H129" s="96" t="str">
        <f ca="1">IF(tbLancamentos[Momento da falha]="","",IF(tbLancamentos[Momento do retorno]="",NOW()-tbLancamentos[Momento da falha],tbLancamentos[Momento do retorno]-tbLancamentos[Momento da falha]))</f>
        <v/>
      </c>
      <c r="I129" s="96" t="str">
        <f>IF(tbLancamentos[[#This Row],[Momento da falha]]="","",IFERROR(VLOOKUP(tbLancamentos[[#This Row],[Equipamento]],CadEqu!$F$7:$H$506,3,FALSE),""))</f>
        <v/>
      </c>
      <c r="J129" s="96" t="str">
        <f ca="1">IF(tbLancamentos[Tempo indisponível]="","",IF(tbLancamentos[Tempo indisponível]&lt;=tbLancamentos[Meta tempo reparo],0,tbLancamentos[Tempo indisponível]-tbLancamentos[Meta tempo reparo]))</f>
        <v/>
      </c>
      <c r="K12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29" s="97"/>
      <c r="M129" s="98" t="str">
        <f>IF(tbLancamentos[[#This Row],[Equipamento]]="","",IFERROR(INDEX(CadEqu!$C$7:$F$506,MATCH(tbLancamentos[[#This Row],[Equipamento]],CadEqu!$F$7:$F$506,0),1),""))</f>
        <v/>
      </c>
    </row>
    <row r="130" spans="2:13" x14ac:dyDescent="0.25">
      <c r="B130" s="2">
        <f>COUNTA($B$6:B129)</f>
        <v>124</v>
      </c>
      <c r="C130" s="94"/>
      <c r="D130" s="16" t="str">
        <f>IFERROR(IF(C130="","",INDEX(CadEqu!$E$7:$F$506,MATCH(tbLancamentos[[#This Row],[Equipamento]],CadEqu!$F$7:$F$506,0),1)),"")</f>
        <v/>
      </c>
      <c r="E130" s="94"/>
      <c r="F130" s="95"/>
      <c r="G130" s="95"/>
      <c r="H130" s="96" t="str">
        <f ca="1">IF(tbLancamentos[Momento da falha]="","",IF(tbLancamentos[Momento do retorno]="",NOW()-tbLancamentos[Momento da falha],tbLancamentos[Momento do retorno]-tbLancamentos[Momento da falha]))</f>
        <v/>
      </c>
      <c r="I130" s="96" t="str">
        <f>IF(tbLancamentos[[#This Row],[Momento da falha]]="","",IFERROR(VLOOKUP(tbLancamentos[[#This Row],[Equipamento]],CadEqu!$F$7:$H$506,3,FALSE),""))</f>
        <v/>
      </c>
      <c r="J130" s="96" t="str">
        <f ca="1">IF(tbLancamentos[Tempo indisponível]="","",IF(tbLancamentos[Tempo indisponível]&lt;=tbLancamentos[Meta tempo reparo],0,tbLancamentos[Tempo indisponível]-tbLancamentos[Meta tempo reparo]))</f>
        <v/>
      </c>
      <c r="K13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0" s="97"/>
      <c r="M130" s="98" t="str">
        <f>IF(tbLancamentos[[#This Row],[Equipamento]]="","",IFERROR(INDEX(CadEqu!$C$7:$F$506,MATCH(tbLancamentos[[#This Row],[Equipamento]],CadEqu!$F$7:$F$506,0),1),""))</f>
        <v/>
      </c>
    </row>
    <row r="131" spans="2:13" x14ac:dyDescent="0.25">
      <c r="B131" s="2">
        <f>COUNTA($B$6:B130)</f>
        <v>125</v>
      </c>
      <c r="C131" s="94"/>
      <c r="D131" s="16" t="str">
        <f>IFERROR(IF(C131="","",INDEX(CadEqu!$E$7:$F$506,MATCH(tbLancamentos[[#This Row],[Equipamento]],CadEqu!$F$7:$F$506,0),1)),"")</f>
        <v/>
      </c>
      <c r="E131" s="94"/>
      <c r="F131" s="95"/>
      <c r="G131" s="95"/>
      <c r="H131" s="96" t="str">
        <f ca="1">IF(tbLancamentos[Momento da falha]="","",IF(tbLancamentos[Momento do retorno]="",NOW()-tbLancamentos[Momento da falha],tbLancamentos[Momento do retorno]-tbLancamentos[Momento da falha]))</f>
        <v/>
      </c>
      <c r="I131" s="96" t="str">
        <f>IF(tbLancamentos[[#This Row],[Momento da falha]]="","",IFERROR(VLOOKUP(tbLancamentos[[#This Row],[Equipamento]],CadEqu!$F$7:$H$506,3,FALSE),""))</f>
        <v/>
      </c>
      <c r="J131" s="96" t="str">
        <f ca="1">IF(tbLancamentos[Tempo indisponível]="","",IF(tbLancamentos[Tempo indisponível]&lt;=tbLancamentos[Meta tempo reparo],0,tbLancamentos[Tempo indisponível]-tbLancamentos[Meta tempo reparo]))</f>
        <v/>
      </c>
      <c r="K13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1" s="97"/>
      <c r="M131" s="98" t="str">
        <f>IF(tbLancamentos[[#This Row],[Equipamento]]="","",IFERROR(INDEX(CadEqu!$C$7:$F$506,MATCH(tbLancamentos[[#This Row],[Equipamento]],CadEqu!$F$7:$F$506,0),1),""))</f>
        <v/>
      </c>
    </row>
    <row r="132" spans="2:13" x14ac:dyDescent="0.25">
      <c r="B132" s="2">
        <f>COUNTA($B$6:B131)</f>
        <v>126</v>
      </c>
      <c r="C132" s="94"/>
      <c r="D132" s="16" t="str">
        <f>IFERROR(IF(C132="","",INDEX(CadEqu!$E$7:$F$506,MATCH(tbLancamentos[[#This Row],[Equipamento]],CadEqu!$F$7:$F$506,0),1)),"")</f>
        <v/>
      </c>
      <c r="E132" s="94"/>
      <c r="F132" s="95"/>
      <c r="G132" s="95"/>
      <c r="H132" s="96" t="str">
        <f ca="1">IF(tbLancamentos[Momento da falha]="","",IF(tbLancamentos[Momento do retorno]="",NOW()-tbLancamentos[Momento da falha],tbLancamentos[Momento do retorno]-tbLancamentos[Momento da falha]))</f>
        <v/>
      </c>
      <c r="I132" s="96" t="str">
        <f>IF(tbLancamentos[[#This Row],[Momento da falha]]="","",IFERROR(VLOOKUP(tbLancamentos[[#This Row],[Equipamento]],CadEqu!$F$7:$H$506,3,FALSE),""))</f>
        <v/>
      </c>
      <c r="J132" s="96" t="str">
        <f ca="1">IF(tbLancamentos[Tempo indisponível]="","",IF(tbLancamentos[Tempo indisponível]&lt;=tbLancamentos[Meta tempo reparo],0,tbLancamentos[Tempo indisponível]-tbLancamentos[Meta tempo reparo]))</f>
        <v/>
      </c>
      <c r="K13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2" s="97"/>
      <c r="M132" s="98" t="str">
        <f>IF(tbLancamentos[[#This Row],[Equipamento]]="","",IFERROR(INDEX(CadEqu!$C$7:$F$506,MATCH(tbLancamentos[[#This Row],[Equipamento]],CadEqu!$F$7:$F$506,0),1),""))</f>
        <v/>
      </c>
    </row>
    <row r="133" spans="2:13" x14ac:dyDescent="0.25">
      <c r="B133" s="2">
        <f>COUNTA($B$6:B132)</f>
        <v>127</v>
      </c>
      <c r="C133" s="94"/>
      <c r="D133" s="16" t="str">
        <f>IFERROR(IF(C133="","",INDEX(CadEqu!$E$7:$F$506,MATCH(tbLancamentos[[#This Row],[Equipamento]],CadEqu!$F$7:$F$506,0),1)),"")</f>
        <v/>
      </c>
      <c r="E133" s="94"/>
      <c r="F133" s="95"/>
      <c r="G133" s="95"/>
      <c r="H133" s="96" t="str">
        <f ca="1">IF(tbLancamentos[Momento da falha]="","",IF(tbLancamentos[Momento do retorno]="",NOW()-tbLancamentos[Momento da falha],tbLancamentos[Momento do retorno]-tbLancamentos[Momento da falha]))</f>
        <v/>
      </c>
      <c r="I133" s="96" t="str">
        <f>IF(tbLancamentos[[#This Row],[Momento da falha]]="","",IFERROR(VLOOKUP(tbLancamentos[[#This Row],[Equipamento]],CadEqu!$F$7:$H$506,3,FALSE),""))</f>
        <v/>
      </c>
      <c r="J133" s="96" t="str">
        <f ca="1">IF(tbLancamentos[Tempo indisponível]="","",IF(tbLancamentos[Tempo indisponível]&lt;=tbLancamentos[Meta tempo reparo],0,tbLancamentos[Tempo indisponível]-tbLancamentos[Meta tempo reparo]))</f>
        <v/>
      </c>
      <c r="K13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3" s="97"/>
      <c r="M133" s="98" t="str">
        <f>IF(tbLancamentos[[#This Row],[Equipamento]]="","",IFERROR(INDEX(CadEqu!$C$7:$F$506,MATCH(tbLancamentos[[#This Row],[Equipamento]],CadEqu!$F$7:$F$506,0),1),""))</f>
        <v/>
      </c>
    </row>
    <row r="134" spans="2:13" x14ac:dyDescent="0.25">
      <c r="B134" s="2">
        <f>COUNTA($B$6:B133)</f>
        <v>128</v>
      </c>
      <c r="C134" s="94"/>
      <c r="D134" s="16" t="str">
        <f>IFERROR(IF(C134="","",INDEX(CadEqu!$E$7:$F$506,MATCH(tbLancamentos[[#This Row],[Equipamento]],CadEqu!$F$7:$F$506,0),1)),"")</f>
        <v/>
      </c>
      <c r="E134" s="94"/>
      <c r="F134" s="95"/>
      <c r="G134" s="95"/>
      <c r="H134" s="96" t="str">
        <f ca="1">IF(tbLancamentos[Momento da falha]="","",IF(tbLancamentos[Momento do retorno]="",NOW()-tbLancamentos[Momento da falha],tbLancamentos[Momento do retorno]-tbLancamentos[Momento da falha]))</f>
        <v/>
      </c>
      <c r="I134" s="96" t="str">
        <f>IF(tbLancamentos[[#This Row],[Momento da falha]]="","",IFERROR(VLOOKUP(tbLancamentos[[#This Row],[Equipamento]],CadEqu!$F$7:$H$506,3,FALSE),""))</f>
        <v/>
      </c>
      <c r="J134" s="96" t="str">
        <f ca="1">IF(tbLancamentos[Tempo indisponível]="","",IF(tbLancamentos[Tempo indisponível]&lt;=tbLancamentos[Meta tempo reparo],0,tbLancamentos[Tempo indisponível]-tbLancamentos[Meta tempo reparo]))</f>
        <v/>
      </c>
      <c r="K13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4" s="97"/>
      <c r="M134" s="98" t="str">
        <f>IF(tbLancamentos[[#This Row],[Equipamento]]="","",IFERROR(INDEX(CadEqu!$C$7:$F$506,MATCH(tbLancamentos[[#This Row],[Equipamento]],CadEqu!$F$7:$F$506,0),1),""))</f>
        <v/>
      </c>
    </row>
    <row r="135" spans="2:13" x14ac:dyDescent="0.25">
      <c r="B135" s="2">
        <f>COUNTA($B$6:B134)</f>
        <v>129</v>
      </c>
      <c r="C135" s="94"/>
      <c r="D135" s="16" t="str">
        <f>IFERROR(IF(C135="","",INDEX(CadEqu!$E$7:$F$506,MATCH(tbLancamentos[[#This Row],[Equipamento]],CadEqu!$F$7:$F$506,0),1)),"")</f>
        <v/>
      </c>
      <c r="E135" s="94"/>
      <c r="F135" s="95"/>
      <c r="G135" s="95"/>
      <c r="H135" s="96" t="str">
        <f ca="1">IF(tbLancamentos[Momento da falha]="","",IF(tbLancamentos[Momento do retorno]="",NOW()-tbLancamentos[Momento da falha],tbLancamentos[Momento do retorno]-tbLancamentos[Momento da falha]))</f>
        <v/>
      </c>
      <c r="I135" s="96" t="str">
        <f>IF(tbLancamentos[[#This Row],[Momento da falha]]="","",IFERROR(VLOOKUP(tbLancamentos[[#This Row],[Equipamento]],CadEqu!$F$7:$H$506,3,FALSE),""))</f>
        <v/>
      </c>
      <c r="J135" s="96" t="str">
        <f ca="1">IF(tbLancamentos[Tempo indisponível]="","",IF(tbLancamentos[Tempo indisponível]&lt;=tbLancamentos[Meta tempo reparo],0,tbLancamentos[Tempo indisponível]-tbLancamentos[Meta tempo reparo]))</f>
        <v/>
      </c>
      <c r="K13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5" s="97"/>
      <c r="M135" s="98" t="str">
        <f>IF(tbLancamentos[[#This Row],[Equipamento]]="","",IFERROR(INDEX(CadEqu!$C$7:$F$506,MATCH(tbLancamentos[[#This Row],[Equipamento]],CadEqu!$F$7:$F$506,0),1),""))</f>
        <v/>
      </c>
    </row>
    <row r="136" spans="2:13" x14ac:dyDescent="0.25">
      <c r="B136" s="2">
        <f>COUNTA($B$6:B135)</f>
        <v>130</v>
      </c>
      <c r="C136" s="94"/>
      <c r="D136" s="16" t="str">
        <f>IFERROR(IF(C136="","",INDEX(CadEqu!$E$7:$F$506,MATCH(tbLancamentos[[#This Row],[Equipamento]],CadEqu!$F$7:$F$506,0),1)),"")</f>
        <v/>
      </c>
      <c r="E136" s="94"/>
      <c r="F136" s="95"/>
      <c r="G136" s="95"/>
      <c r="H136" s="96" t="str">
        <f ca="1">IF(tbLancamentos[Momento da falha]="","",IF(tbLancamentos[Momento do retorno]="",NOW()-tbLancamentos[Momento da falha],tbLancamentos[Momento do retorno]-tbLancamentos[Momento da falha]))</f>
        <v/>
      </c>
      <c r="I136" s="96" t="str">
        <f>IF(tbLancamentos[[#This Row],[Momento da falha]]="","",IFERROR(VLOOKUP(tbLancamentos[[#This Row],[Equipamento]],CadEqu!$F$7:$H$506,3,FALSE),""))</f>
        <v/>
      </c>
      <c r="J136" s="96" t="str">
        <f ca="1">IF(tbLancamentos[Tempo indisponível]="","",IF(tbLancamentos[Tempo indisponível]&lt;=tbLancamentos[Meta tempo reparo],0,tbLancamentos[Tempo indisponível]-tbLancamentos[Meta tempo reparo]))</f>
        <v/>
      </c>
      <c r="K13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6" s="97"/>
      <c r="M136" s="98" t="str">
        <f>IF(tbLancamentos[[#This Row],[Equipamento]]="","",IFERROR(INDEX(CadEqu!$C$7:$F$506,MATCH(tbLancamentos[[#This Row],[Equipamento]],CadEqu!$F$7:$F$506,0),1),""))</f>
        <v/>
      </c>
    </row>
    <row r="137" spans="2:13" x14ac:dyDescent="0.25">
      <c r="B137" s="2">
        <f>COUNTA($B$6:B136)</f>
        <v>131</v>
      </c>
      <c r="C137" s="94"/>
      <c r="D137" s="16" t="str">
        <f>IFERROR(IF(C137="","",INDEX(CadEqu!$E$7:$F$506,MATCH(tbLancamentos[[#This Row],[Equipamento]],CadEqu!$F$7:$F$506,0),1)),"")</f>
        <v/>
      </c>
      <c r="E137" s="94"/>
      <c r="F137" s="95"/>
      <c r="G137" s="95"/>
      <c r="H137" s="96" t="str">
        <f ca="1">IF(tbLancamentos[Momento da falha]="","",IF(tbLancamentos[Momento do retorno]="",NOW()-tbLancamentos[Momento da falha],tbLancamentos[Momento do retorno]-tbLancamentos[Momento da falha]))</f>
        <v/>
      </c>
      <c r="I137" s="96" t="str">
        <f>IF(tbLancamentos[[#This Row],[Momento da falha]]="","",IFERROR(VLOOKUP(tbLancamentos[[#This Row],[Equipamento]],CadEqu!$F$7:$H$506,3,FALSE),""))</f>
        <v/>
      </c>
      <c r="J137" s="96" t="str">
        <f ca="1">IF(tbLancamentos[Tempo indisponível]="","",IF(tbLancamentos[Tempo indisponível]&lt;=tbLancamentos[Meta tempo reparo],0,tbLancamentos[Tempo indisponível]-tbLancamentos[Meta tempo reparo]))</f>
        <v/>
      </c>
      <c r="K13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7" s="97"/>
      <c r="M137" s="98" t="str">
        <f>IF(tbLancamentos[[#This Row],[Equipamento]]="","",IFERROR(INDEX(CadEqu!$C$7:$F$506,MATCH(tbLancamentos[[#This Row],[Equipamento]],CadEqu!$F$7:$F$506,0),1),""))</f>
        <v/>
      </c>
    </row>
    <row r="138" spans="2:13" x14ac:dyDescent="0.25">
      <c r="B138" s="2">
        <f>COUNTA($B$6:B137)</f>
        <v>132</v>
      </c>
      <c r="C138" s="94"/>
      <c r="D138" s="16" t="str">
        <f>IFERROR(IF(C138="","",INDEX(CadEqu!$E$7:$F$506,MATCH(tbLancamentos[[#This Row],[Equipamento]],CadEqu!$F$7:$F$506,0),1)),"")</f>
        <v/>
      </c>
      <c r="E138" s="94"/>
      <c r="F138" s="95"/>
      <c r="G138" s="95"/>
      <c r="H138" s="96" t="str">
        <f ca="1">IF(tbLancamentos[Momento da falha]="","",IF(tbLancamentos[Momento do retorno]="",NOW()-tbLancamentos[Momento da falha],tbLancamentos[Momento do retorno]-tbLancamentos[Momento da falha]))</f>
        <v/>
      </c>
      <c r="I138" s="96" t="str">
        <f>IF(tbLancamentos[[#This Row],[Momento da falha]]="","",IFERROR(VLOOKUP(tbLancamentos[[#This Row],[Equipamento]],CadEqu!$F$7:$H$506,3,FALSE),""))</f>
        <v/>
      </c>
      <c r="J138" s="96" t="str">
        <f ca="1">IF(tbLancamentos[Tempo indisponível]="","",IF(tbLancamentos[Tempo indisponível]&lt;=tbLancamentos[Meta tempo reparo],0,tbLancamentos[Tempo indisponível]-tbLancamentos[Meta tempo reparo]))</f>
        <v/>
      </c>
      <c r="K13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8" s="97"/>
      <c r="M138" s="98" t="str">
        <f>IF(tbLancamentos[[#This Row],[Equipamento]]="","",IFERROR(INDEX(CadEqu!$C$7:$F$506,MATCH(tbLancamentos[[#This Row],[Equipamento]],CadEqu!$F$7:$F$506,0),1),""))</f>
        <v/>
      </c>
    </row>
    <row r="139" spans="2:13" x14ac:dyDescent="0.25">
      <c r="B139" s="2">
        <f>COUNTA($B$6:B138)</f>
        <v>133</v>
      </c>
      <c r="C139" s="94"/>
      <c r="D139" s="16" t="str">
        <f>IFERROR(IF(C139="","",INDEX(CadEqu!$E$7:$F$506,MATCH(tbLancamentos[[#This Row],[Equipamento]],CadEqu!$F$7:$F$506,0),1)),"")</f>
        <v/>
      </c>
      <c r="E139" s="94"/>
      <c r="F139" s="95"/>
      <c r="G139" s="95"/>
      <c r="H139" s="96" t="str">
        <f ca="1">IF(tbLancamentos[Momento da falha]="","",IF(tbLancamentos[Momento do retorno]="",NOW()-tbLancamentos[Momento da falha],tbLancamentos[Momento do retorno]-tbLancamentos[Momento da falha]))</f>
        <v/>
      </c>
      <c r="I139" s="96" t="str">
        <f>IF(tbLancamentos[[#This Row],[Momento da falha]]="","",IFERROR(VLOOKUP(tbLancamentos[[#This Row],[Equipamento]],CadEqu!$F$7:$H$506,3,FALSE),""))</f>
        <v/>
      </c>
      <c r="J139" s="96" t="str">
        <f ca="1">IF(tbLancamentos[Tempo indisponível]="","",IF(tbLancamentos[Tempo indisponível]&lt;=tbLancamentos[Meta tempo reparo],0,tbLancamentos[Tempo indisponível]-tbLancamentos[Meta tempo reparo]))</f>
        <v/>
      </c>
      <c r="K13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39" s="97"/>
      <c r="M139" s="98" t="str">
        <f>IF(tbLancamentos[[#This Row],[Equipamento]]="","",IFERROR(INDEX(CadEqu!$C$7:$F$506,MATCH(tbLancamentos[[#This Row],[Equipamento]],CadEqu!$F$7:$F$506,0),1),""))</f>
        <v/>
      </c>
    </row>
    <row r="140" spans="2:13" x14ac:dyDescent="0.25">
      <c r="B140" s="2">
        <f>COUNTA($B$6:B139)</f>
        <v>134</v>
      </c>
      <c r="C140" s="94"/>
      <c r="D140" s="16" t="str">
        <f>IFERROR(IF(C140="","",INDEX(CadEqu!$E$7:$F$506,MATCH(tbLancamentos[[#This Row],[Equipamento]],CadEqu!$F$7:$F$506,0),1)),"")</f>
        <v/>
      </c>
      <c r="E140" s="94"/>
      <c r="F140" s="95"/>
      <c r="G140" s="95"/>
      <c r="H140" s="96" t="str">
        <f ca="1">IF(tbLancamentos[Momento da falha]="","",IF(tbLancamentos[Momento do retorno]="",NOW()-tbLancamentos[Momento da falha],tbLancamentos[Momento do retorno]-tbLancamentos[Momento da falha]))</f>
        <v/>
      </c>
      <c r="I140" s="96" t="str">
        <f>IF(tbLancamentos[[#This Row],[Momento da falha]]="","",IFERROR(VLOOKUP(tbLancamentos[[#This Row],[Equipamento]],CadEqu!$F$7:$H$506,3,FALSE),""))</f>
        <v/>
      </c>
      <c r="J140" s="96" t="str">
        <f ca="1">IF(tbLancamentos[Tempo indisponível]="","",IF(tbLancamentos[Tempo indisponível]&lt;=tbLancamentos[Meta tempo reparo],0,tbLancamentos[Tempo indisponível]-tbLancamentos[Meta tempo reparo]))</f>
        <v/>
      </c>
      <c r="K14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0" s="97"/>
      <c r="M140" s="98" t="str">
        <f>IF(tbLancamentos[[#This Row],[Equipamento]]="","",IFERROR(INDEX(CadEqu!$C$7:$F$506,MATCH(tbLancamentos[[#This Row],[Equipamento]],CadEqu!$F$7:$F$506,0),1),""))</f>
        <v/>
      </c>
    </row>
    <row r="141" spans="2:13" x14ac:dyDescent="0.25">
      <c r="B141" s="2">
        <f>COUNTA($B$6:B140)</f>
        <v>135</v>
      </c>
      <c r="C141" s="94"/>
      <c r="D141" s="16" t="str">
        <f>IFERROR(IF(C141="","",INDEX(CadEqu!$E$7:$F$506,MATCH(tbLancamentos[[#This Row],[Equipamento]],CadEqu!$F$7:$F$506,0),1)),"")</f>
        <v/>
      </c>
      <c r="E141" s="94"/>
      <c r="F141" s="95"/>
      <c r="G141" s="95"/>
      <c r="H141" s="96" t="str">
        <f ca="1">IF(tbLancamentos[Momento da falha]="","",IF(tbLancamentos[Momento do retorno]="",NOW()-tbLancamentos[Momento da falha],tbLancamentos[Momento do retorno]-tbLancamentos[Momento da falha]))</f>
        <v/>
      </c>
      <c r="I141" s="96" t="str">
        <f>IF(tbLancamentos[[#This Row],[Momento da falha]]="","",IFERROR(VLOOKUP(tbLancamentos[[#This Row],[Equipamento]],CadEqu!$F$7:$H$506,3,FALSE),""))</f>
        <v/>
      </c>
      <c r="J141" s="96" t="str">
        <f ca="1">IF(tbLancamentos[Tempo indisponível]="","",IF(tbLancamentos[Tempo indisponível]&lt;=tbLancamentos[Meta tempo reparo],0,tbLancamentos[Tempo indisponível]-tbLancamentos[Meta tempo reparo]))</f>
        <v/>
      </c>
      <c r="K14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1" s="97"/>
      <c r="M141" s="98" t="str">
        <f>IF(tbLancamentos[[#This Row],[Equipamento]]="","",IFERROR(INDEX(CadEqu!$C$7:$F$506,MATCH(tbLancamentos[[#This Row],[Equipamento]],CadEqu!$F$7:$F$506,0),1),""))</f>
        <v/>
      </c>
    </row>
    <row r="142" spans="2:13" x14ac:dyDescent="0.25">
      <c r="B142" s="2">
        <f>COUNTA($B$6:B141)</f>
        <v>136</v>
      </c>
      <c r="C142" s="94"/>
      <c r="D142" s="16" t="str">
        <f>IFERROR(IF(C142="","",INDEX(CadEqu!$E$7:$F$506,MATCH(tbLancamentos[[#This Row],[Equipamento]],CadEqu!$F$7:$F$506,0),1)),"")</f>
        <v/>
      </c>
      <c r="E142" s="94"/>
      <c r="F142" s="95"/>
      <c r="G142" s="95"/>
      <c r="H142" s="96" t="str">
        <f ca="1">IF(tbLancamentos[Momento da falha]="","",IF(tbLancamentos[Momento do retorno]="",NOW()-tbLancamentos[Momento da falha],tbLancamentos[Momento do retorno]-tbLancamentos[Momento da falha]))</f>
        <v/>
      </c>
      <c r="I142" s="96" t="str">
        <f>IF(tbLancamentos[[#This Row],[Momento da falha]]="","",IFERROR(VLOOKUP(tbLancamentos[[#This Row],[Equipamento]],CadEqu!$F$7:$H$506,3,FALSE),""))</f>
        <v/>
      </c>
      <c r="J142" s="96" t="str">
        <f ca="1">IF(tbLancamentos[Tempo indisponível]="","",IF(tbLancamentos[Tempo indisponível]&lt;=tbLancamentos[Meta tempo reparo],0,tbLancamentos[Tempo indisponível]-tbLancamentos[Meta tempo reparo]))</f>
        <v/>
      </c>
      <c r="K14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2" s="97"/>
      <c r="M142" s="98" t="str">
        <f>IF(tbLancamentos[[#This Row],[Equipamento]]="","",IFERROR(INDEX(CadEqu!$C$7:$F$506,MATCH(tbLancamentos[[#This Row],[Equipamento]],CadEqu!$F$7:$F$506,0),1),""))</f>
        <v/>
      </c>
    </row>
    <row r="143" spans="2:13" x14ac:dyDescent="0.25">
      <c r="B143" s="2">
        <f>COUNTA($B$6:B142)</f>
        <v>137</v>
      </c>
      <c r="C143" s="94"/>
      <c r="D143" s="16" t="str">
        <f>IFERROR(IF(C143="","",INDEX(CadEqu!$E$7:$F$506,MATCH(tbLancamentos[[#This Row],[Equipamento]],CadEqu!$F$7:$F$506,0),1)),"")</f>
        <v/>
      </c>
      <c r="E143" s="94"/>
      <c r="F143" s="95"/>
      <c r="G143" s="95"/>
      <c r="H143" s="96" t="str">
        <f ca="1">IF(tbLancamentos[Momento da falha]="","",IF(tbLancamentos[Momento do retorno]="",NOW()-tbLancamentos[Momento da falha],tbLancamentos[Momento do retorno]-tbLancamentos[Momento da falha]))</f>
        <v/>
      </c>
      <c r="I143" s="96" t="str">
        <f>IF(tbLancamentos[[#This Row],[Momento da falha]]="","",IFERROR(VLOOKUP(tbLancamentos[[#This Row],[Equipamento]],CadEqu!$F$7:$H$506,3,FALSE),""))</f>
        <v/>
      </c>
      <c r="J143" s="96" t="str">
        <f ca="1">IF(tbLancamentos[Tempo indisponível]="","",IF(tbLancamentos[Tempo indisponível]&lt;=tbLancamentos[Meta tempo reparo],0,tbLancamentos[Tempo indisponível]-tbLancamentos[Meta tempo reparo]))</f>
        <v/>
      </c>
      <c r="K14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3" s="97"/>
      <c r="M143" s="98" t="str">
        <f>IF(tbLancamentos[[#This Row],[Equipamento]]="","",IFERROR(INDEX(CadEqu!$C$7:$F$506,MATCH(tbLancamentos[[#This Row],[Equipamento]],CadEqu!$F$7:$F$506,0),1),""))</f>
        <v/>
      </c>
    </row>
    <row r="144" spans="2:13" x14ac:dyDescent="0.25">
      <c r="B144" s="2">
        <f>COUNTA($B$6:B143)</f>
        <v>138</v>
      </c>
      <c r="C144" s="94"/>
      <c r="D144" s="16" t="str">
        <f>IFERROR(IF(C144="","",INDEX(CadEqu!$E$7:$F$506,MATCH(tbLancamentos[[#This Row],[Equipamento]],CadEqu!$F$7:$F$506,0),1)),"")</f>
        <v/>
      </c>
      <c r="E144" s="94"/>
      <c r="F144" s="95"/>
      <c r="G144" s="95"/>
      <c r="H144" s="96" t="str">
        <f ca="1">IF(tbLancamentos[Momento da falha]="","",IF(tbLancamentos[Momento do retorno]="",NOW()-tbLancamentos[Momento da falha],tbLancamentos[Momento do retorno]-tbLancamentos[Momento da falha]))</f>
        <v/>
      </c>
      <c r="I144" s="96" t="str">
        <f>IF(tbLancamentos[[#This Row],[Momento da falha]]="","",IFERROR(VLOOKUP(tbLancamentos[[#This Row],[Equipamento]],CadEqu!$F$7:$H$506,3,FALSE),""))</f>
        <v/>
      </c>
      <c r="J144" s="96" t="str">
        <f ca="1">IF(tbLancamentos[Tempo indisponível]="","",IF(tbLancamentos[Tempo indisponível]&lt;=tbLancamentos[Meta tempo reparo],0,tbLancamentos[Tempo indisponível]-tbLancamentos[Meta tempo reparo]))</f>
        <v/>
      </c>
      <c r="K14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4" s="97"/>
      <c r="M144" s="98" t="str">
        <f>IF(tbLancamentos[[#This Row],[Equipamento]]="","",IFERROR(INDEX(CadEqu!$C$7:$F$506,MATCH(tbLancamentos[[#This Row],[Equipamento]],CadEqu!$F$7:$F$506,0),1),""))</f>
        <v/>
      </c>
    </row>
    <row r="145" spans="2:13" x14ac:dyDescent="0.25">
      <c r="B145" s="2">
        <f>COUNTA($B$6:B144)</f>
        <v>139</v>
      </c>
      <c r="C145" s="94"/>
      <c r="D145" s="16" t="str">
        <f>IFERROR(IF(C145="","",INDEX(CadEqu!$E$7:$F$506,MATCH(tbLancamentos[[#This Row],[Equipamento]],CadEqu!$F$7:$F$506,0),1)),"")</f>
        <v/>
      </c>
      <c r="E145" s="94"/>
      <c r="F145" s="95"/>
      <c r="G145" s="95"/>
      <c r="H145" s="96" t="str">
        <f ca="1">IF(tbLancamentos[Momento da falha]="","",IF(tbLancamentos[Momento do retorno]="",NOW()-tbLancamentos[Momento da falha],tbLancamentos[Momento do retorno]-tbLancamentos[Momento da falha]))</f>
        <v/>
      </c>
      <c r="I145" s="96" t="str">
        <f>IF(tbLancamentos[[#This Row],[Momento da falha]]="","",IFERROR(VLOOKUP(tbLancamentos[[#This Row],[Equipamento]],CadEqu!$F$7:$H$506,3,FALSE),""))</f>
        <v/>
      </c>
      <c r="J145" s="96" t="str">
        <f ca="1">IF(tbLancamentos[Tempo indisponível]="","",IF(tbLancamentos[Tempo indisponível]&lt;=tbLancamentos[Meta tempo reparo],0,tbLancamentos[Tempo indisponível]-tbLancamentos[Meta tempo reparo]))</f>
        <v/>
      </c>
      <c r="K14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5" s="97"/>
      <c r="M145" s="98" t="str">
        <f>IF(tbLancamentos[[#This Row],[Equipamento]]="","",IFERROR(INDEX(CadEqu!$C$7:$F$506,MATCH(tbLancamentos[[#This Row],[Equipamento]],CadEqu!$F$7:$F$506,0),1),""))</f>
        <v/>
      </c>
    </row>
    <row r="146" spans="2:13" x14ac:dyDescent="0.25">
      <c r="B146" s="2">
        <f>COUNTA($B$6:B145)</f>
        <v>140</v>
      </c>
      <c r="C146" s="94"/>
      <c r="D146" s="16" t="str">
        <f>IFERROR(IF(C146="","",INDEX(CadEqu!$E$7:$F$506,MATCH(tbLancamentos[[#This Row],[Equipamento]],CadEqu!$F$7:$F$506,0),1)),"")</f>
        <v/>
      </c>
      <c r="E146" s="94"/>
      <c r="F146" s="95"/>
      <c r="G146" s="95"/>
      <c r="H146" s="96" t="str">
        <f ca="1">IF(tbLancamentos[Momento da falha]="","",IF(tbLancamentos[Momento do retorno]="",NOW()-tbLancamentos[Momento da falha],tbLancamentos[Momento do retorno]-tbLancamentos[Momento da falha]))</f>
        <v/>
      </c>
      <c r="I146" s="96" t="str">
        <f>IF(tbLancamentos[[#This Row],[Momento da falha]]="","",IFERROR(VLOOKUP(tbLancamentos[[#This Row],[Equipamento]],CadEqu!$F$7:$H$506,3,FALSE),""))</f>
        <v/>
      </c>
      <c r="J146" s="96" t="str">
        <f ca="1">IF(tbLancamentos[Tempo indisponível]="","",IF(tbLancamentos[Tempo indisponível]&lt;=tbLancamentos[Meta tempo reparo],0,tbLancamentos[Tempo indisponível]-tbLancamentos[Meta tempo reparo]))</f>
        <v/>
      </c>
      <c r="K14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6" s="97"/>
      <c r="M146" s="98" t="str">
        <f>IF(tbLancamentos[[#This Row],[Equipamento]]="","",IFERROR(INDEX(CadEqu!$C$7:$F$506,MATCH(tbLancamentos[[#This Row],[Equipamento]],CadEqu!$F$7:$F$506,0),1),""))</f>
        <v/>
      </c>
    </row>
    <row r="147" spans="2:13" x14ac:dyDescent="0.25">
      <c r="B147" s="2">
        <f>COUNTA($B$6:B146)</f>
        <v>141</v>
      </c>
      <c r="C147" s="94"/>
      <c r="D147" s="16" t="str">
        <f>IFERROR(IF(C147="","",INDEX(CadEqu!$E$7:$F$506,MATCH(tbLancamentos[[#This Row],[Equipamento]],CadEqu!$F$7:$F$506,0),1)),"")</f>
        <v/>
      </c>
      <c r="E147" s="94"/>
      <c r="F147" s="95"/>
      <c r="G147" s="95"/>
      <c r="H147" s="96" t="str">
        <f ca="1">IF(tbLancamentos[Momento da falha]="","",IF(tbLancamentos[Momento do retorno]="",NOW()-tbLancamentos[Momento da falha],tbLancamentos[Momento do retorno]-tbLancamentos[Momento da falha]))</f>
        <v/>
      </c>
      <c r="I147" s="96" t="str">
        <f>IF(tbLancamentos[[#This Row],[Momento da falha]]="","",IFERROR(VLOOKUP(tbLancamentos[[#This Row],[Equipamento]],CadEqu!$F$7:$H$506,3,FALSE),""))</f>
        <v/>
      </c>
      <c r="J147" s="96" t="str">
        <f ca="1">IF(tbLancamentos[Tempo indisponível]="","",IF(tbLancamentos[Tempo indisponível]&lt;=tbLancamentos[Meta tempo reparo],0,tbLancamentos[Tempo indisponível]-tbLancamentos[Meta tempo reparo]))</f>
        <v/>
      </c>
      <c r="K14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7" s="97"/>
      <c r="M147" s="98" t="str">
        <f>IF(tbLancamentos[[#This Row],[Equipamento]]="","",IFERROR(INDEX(CadEqu!$C$7:$F$506,MATCH(tbLancamentos[[#This Row],[Equipamento]],CadEqu!$F$7:$F$506,0),1),""))</f>
        <v/>
      </c>
    </row>
    <row r="148" spans="2:13" x14ac:dyDescent="0.25">
      <c r="B148" s="2">
        <f>COUNTA($B$6:B147)</f>
        <v>142</v>
      </c>
      <c r="C148" s="94"/>
      <c r="D148" s="16" t="str">
        <f>IFERROR(IF(C148="","",INDEX(CadEqu!$E$7:$F$506,MATCH(tbLancamentos[[#This Row],[Equipamento]],CadEqu!$F$7:$F$506,0),1)),"")</f>
        <v/>
      </c>
      <c r="E148" s="94"/>
      <c r="F148" s="95"/>
      <c r="G148" s="95"/>
      <c r="H148" s="96" t="str">
        <f ca="1">IF(tbLancamentos[Momento da falha]="","",IF(tbLancamentos[Momento do retorno]="",NOW()-tbLancamentos[Momento da falha],tbLancamentos[Momento do retorno]-tbLancamentos[Momento da falha]))</f>
        <v/>
      </c>
      <c r="I148" s="96" t="str">
        <f>IF(tbLancamentos[[#This Row],[Momento da falha]]="","",IFERROR(VLOOKUP(tbLancamentos[[#This Row],[Equipamento]],CadEqu!$F$7:$H$506,3,FALSE),""))</f>
        <v/>
      </c>
      <c r="J148" s="96" t="str">
        <f ca="1">IF(tbLancamentos[Tempo indisponível]="","",IF(tbLancamentos[Tempo indisponível]&lt;=tbLancamentos[Meta tempo reparo],0,tbLancamentos[Tempo indisponível]-tbLancamentos[Meta tempo reparo]))</f>
        <v/>
      </c>
      <c r="K14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8" s="97"/>
      <c r="M148" s="98" t="str">
        <f>IF(tbLancamentos[[#This Row],[Equipamento]]="","",IFERROR(INDEX(CadEqu!$C$7:$F$506,MATCH(tbLancamentos[[#This Row],[Equipamento]],CadEqu!$F$7:$F$506,0),1),""))</f>
        <v/>
      </c>
    </row>
    <row r="149" spans="2:13" x14ac:dyDescent="0.25">
      <c r="B149" s="2">
        <f>COUNTA($B$6:B148)</f>
        <v>143</v>
      </c>
      <c r="C149" s="94"/>
      <c r="D149" s="16" t="str">
        <f>IFERROR(IF(C149="","",INDEX(CadEqu!$E$7:$F$506,MATCH(tbLancamentos[[#This Row],[Equipamento]],CadEqu!$F$7:$F$506,0),1)),"")</f>
        <v/>
      </c>
      <c r="E149" s="94"/>
      <c r="F149" s="95"/>
      <c r="G149" s="95"/>
      <c r="H149" s="96" t="str">
        <f ca="1">IF(tbLancamentos[Momento da falha]="","",IF(tbLancamentos[Momento do retorno]="",NOW()-tbLancamentos[Momento da falha],tbLancamentos[Momento do retorno]-tbLancamentos[Momento da falha]))</f>
        <v/>
      </c>
      <c r="I149" s="96" t="str">
        <f>IF(tbLancamentos[[#This Row],[Momento da falha]]="","",IFERROR(VLOOKUP(tbLancamentos[[#This Row],[Equipamento]],CadEqu!$F$7:$H$506,3,FALSE),""))</f>
        <v/>
      </c>
      <c r="J149" s="96" t="str">
        <f ca="1">IF(tbLancamentos[Tempo indisponível]="","",IF(tbLancamentos[Tempo indisponível]&lt;=tbLancamentos[Meta tempo reparo],0,tbLancamentos[Tempo indisponível]-tbLancamentos[Meta tempo reparo]))</f>
        <v/>
      </c>
      <c r="K14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49" s="97"/>
      <c r="M149" s="98" t="str">
        <f>IF(tbLancamentos[[#This Row],[Equipamento]]="","",IFERROR(INDEX(CadEqu!$C$7:$F$506,MATCH(tbLancamentos[[#This Row],[Equipamento]],CadEqu!$F$7:$F$506,0),1),""))</f>
        <v/>
      </c>
    </row>
    <row r="150" spans="2:13" x14ac:dyDescent="0.25">
      <c r="B150" s="2">
        <f>COUNTA($B$6:B149)</f>
        <v>144</v>
      </c>
      <c r="C150" s="94"/>
      <c r="D150" s="16" t="str">
        <f>IFERROR(IF(C150="","",INDEX(CadEqu!$E$7:$F$506,MATCH(tbLancamentos[[#This Row],[Equipamento]],CadEqu!$F$7:$F$506,0),1)),"")</f>
        <v/>
      </c>
      <c r="E150" s="94"/>
      <c r="F150" s="95"/>
      <c r="G150" s="95"/>
      <c r="H150" s="96" t="str">
        <f ca="1">IF(tbLancamentos[Momento da falha]="","",IF(tbLancamentos[Momento do retorno]="",NOW()-tbLancamentos[Momento da falha],tbLancamentos[Momento do retorno]-tbLancamentos[Momento da falha]))</f>
        <v/>
      </c>
      <c r="I150" s="96" t="str">
        <f>IF(tbLancamentos[[#This Row],[Momento da falha]]="","",IFERROR(VLOOKUP(tbLancamentos[[#This Row],[Equipamento]],CadEqu!$F$7:$H$506,3,FALSE),""))</f>
        <v/>
      </c>
      <c r="J150" s="96" t="str">
        <f ca="1">IF(tbLancamentos[Tempo indisponível]="","",IF(tbLancamentos[Tempo indisponível]&lt;=tbLancamentos[Meta tempo reparo],0,tbLancamentos[Tempo indisponível]-tbLancamentos[Meta tempo reparo]))</f>
        <v/>
      </c>
      <c r="K15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0" s="97"/>
      <c r="M150" s="98" t="str">
        <f>IF(tbLancamentos[[#This Row],[Equipamento]]="","",IFERROR(INDEX(CadEqu!$C$7:$F$506,MATCH(tbLancamentos[[#This Row],[Equipamento]],CadEqu!$F$7:$F$506,0),1),""))</f>
        <v/>
      </c>
    </row>
    <row r="151" spans="2:13" x14ac:dyDescent="0.25">
      <c r="B151" s="2">
        <f>COUNTA($B$6:B150)</f>
        <v>145</v>
      </c>
      <c r="C151" s="94"/>
      <c r="D151" s="16" t="str">
        <f>IFERROR(IF(C151="","",INDEX(CadEqu!$E$7:$F$506,MATCH(tbLancamentos[[#This Row],[Equipamento]],CadEqu!$F$7:$F$506,0),1)),"")</f>
        <v/>
      </c>
      <c r="E151" s="94"/>
      <c r="F151" s="95"/>
      <c r="G151" s="95"/>
      <c r="H151" s="96" t="str">
        <f ca="1">IF(tbLancamentos[Momento da falha]="","",IF(tbLancamentos[Momento do retorno]="",NOW()-tbLancamentos[Momento da falha],tbLancamentos[Momento do retorno]-tbLancamentos[Momento da falha]))</f>
        <v/>
      </c>
      <c r="I151" s="96" t="str">
        <f>IF(tbLancamentos[[#This Row],[Momento da falha]]="","",IFERROR(VLOOKUP(tbLancamentos[[#This Row],[Equipamento]],CadEqu!$F$7:$H$506,3,FALSE),""))</f>
        <v/>
      </c>
      <c r="J151" s="96" t="str">
        <f ca="1">IF(tbLancamentos[Tempo indisponível]="","",IF(tbLancamentos[Tempo indisponível]&lt;=tbLancamentos[Meta tempo reparo],0,tbLancamentos[Tempo indisponível]-tbLancamentos[Meta tempo reparo]))</f>
        <v/>
      </c>
      <c r="K15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1" s="97"/>
      <c r="M151" s="98" t="str">
        <f>IF(tbLancamentos[[#This Row],[Equipamento]]="","",IFERROR(INDEX(CadEqu!$C$7:$F$506,MATCH(tbLancamentos[[#This Row],[Equipamento]],CadEqu!$F$7:$F$506,0),1),""))</f>
        <v/>
      </c>
    </row>
    <row r="152" spans="2:13" x14ac:dyDescent="0.25">
      <c r="B152" s="2">
        <f>COUNTA($B$6:B151)</f>
        <v>146</v>
      </c>
      <c r="C152" s="94"/>
      <c r="D152" s="16" t="str">
        <f>IFERROR(IF(C152="","",INDEX(CadEqu!$E$7:$F$506,MATCH(tbLancamentos[[#This Row],[Equipamento]],CadEqu!$F$7:$F$506,0),1)),"")</f>
        <v/>
      </c>
      <c r="E152" s="94"/>
      <c r="F152" s="95"/>
      <c r="G152" s="95"/>
      <c r="H152" s="96" t="str">
        <f ca="1">IF(tbLancamentos[Momento da falha]="","",IF(tbLancamentos[Momento do retorno]="",NOW()-tbLancamentos[Momento da falha],tbLancamentos[Momento do retorno]-tbLancamentos[Momento da falha]))</f>
        <v/>
      </c>
      <c r="I152" s="96" t="str">
        <f>IF(tbLancamentos[[#This Row],[Momento da falha]]="","",IFERROR(VLOOKUP(tbLancamentos[[#This Row],[Equipamento]],CadEqu!$F$7:$H$506,3,FALSE),""))</f>
        <v/>
      </c>
      <c r="J152" s="96" t="str">
        <f ca="1">IF(tbLancamentos[Tempo indisponível]="","",IF(tbLancamentos[Tempo indisponível]&lt;=tbLancamentos[Meta tempo reparo],0,tbLancamentos[Tempo indisponível]-tbLancamentos[Meta tempo reparo]))</f>
        <v/>
      </c>
      <c r="K15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2" s="97"/>
      <c r="M152" s="98" t="str">
        <f>IF(tbLancamentos[[#This Row],[Equipamento]]="","",IFERROR(INDEX(CadEqu!$C$7:$F$506,MATCH(tbLancamentos[[#This Row],[Equipamento]],CadEqu!$F$7:$F$506,0),1),""))</f>
        <v/>
      </c>
    </row>
    <row r="153" spans="2:13" x14ac:dyDescent="0.25">
      <c r="B153" s="2">
        <f>COUNTA($B$6:B152)</f>
        <v>147</v>
      </c>
      <c r="C153" s="94"/>
      <c r="D153" s="16" t="str">
        <f>IFERROR(IF(C153="","",INDEX(CadEqu!$E$7:$F$506,MATCH(tbLancamentos[[#This Row],[Equipamento]],CadEqu!$F$7:$F$506,0),1)),"")</f>
        <v/>
      </c>
      <c r="E153" s="94"/>
      <c r="F153" s="95"/>
      <c r="G153" s="95"/>
      <c r="H153" s="96" t="str">
        <f ca="1">IF(tbLancamentos[Momento da falha]="","",IF(tbLancamentos[Momento do retorno]="",NOW()-tbLancamentos[Momento da falha],tbLancamentos[Momento do retorno]-tbLancamentos[Momento da falha]))</f>
        <v/>
      </c>
      <c r="I153" s="96" t="str">
        <f>IF(tbLancamentos[[#This Row],[Momento da falha]]="","",IFERROR(VLOOKUP(tbLancamentos[[#This Row],[Equipamento]],CadEqu!$F$7:$H$506,3,FALSE),""))</f>
        <v/>
      </c>
      <c r="J153" s="96" t="str">
        <f ca="1">IF(tbLancamentos[Tempo indisponível]="","",IF(tbLancamentos[Tempo indisponível]&lt;=tbLancamentos[Meta tempo reparo],0,tbLancamentos[Tempo indisponível]-tbLancamentos[Meta tempo reparo]))</f>
        <v/>
      </c>
      <c r="K15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3" s="97"/>
      <c r="M153" s="98" t="str">
        <f>IF(tbLancamentos[[#This Row],[Equipamento]]="","",IFERROR(INDEX(CadEqu!$C$7:$F$506,MATCH(tbLancamentos[[#This Row],[Equipamento]],CadEqu!$F$7:$F$506,0),1),""))</f>
        <v/>
      </c>
    </row>
    <row r="154" spans="2:13" x14ac:dyDescent="0.25">
      <c r="B154" s="2">
        <f>COUNTA($B$6:B153)</f>
        <v>148</v>
      </c>
      <c r="C154" s="94"/>
      <c r="D154" s="16" t="str">
        <f>IFERROR(IF(C154="","",INDEX(CadEqu!$E$7:$F$506,MATCH(tbLancamentos[[#This Row],[Equipamento]],CadEqu!$F$7:$F$506,0),1)),"")</f>
        <v/>
      </c>
      <c r="E154" s="94"/>
      <c r="F154" s="95"/>
      <c r="G154" s="95"/>
      <c r="H154" s="96" t="str">
        <f ca="1">IF(tbLancamentos[Momento da falha]="","",IF(tbLancamentos[Momento do retorno]="",NOW()-tbLancamentos[Momento da falha],tbLancamentos[Momento do retorno]-tbLancamentos[Momento da falha]))</f>
        <v/>
      </c>
      <c r="I154" s="96" t="str">
        <f>IF(tbLancamentos[[#This Row],[Momento da falha]]="","",IFERROR(VLOOKUP(tbLancamentos[[#This Row],[Equipamento]],CadEqu!$F$7:$H$506,3,FALSE),""))</f>
        <v/>
      </c>
      <c r="J154" s="96" t="str">
        <f ca="1">IF(tbLancamentos[Tempo indisponível]="","",IF(tbLancamentos[Tempo indisponível]&lt;=tbLancamentos[Meta tempo reparo],0,tbLancamentos[Tempo indisponível]-tbLancamentos[Meta tempo reparo]))</f>
        <v/>
      </c>
      <c r="K15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4" s="97"/>
      <c r="M154" s="98" t="str">
        <f>IF(tbLancamentos[[#This Row],[Equipamento]]="","",IFERROR(INDEX(CadEqu!$C$7:$F$506,MATCH(tbLancamentos[[#This Row],[Equipamento]],CadEqu!$F$7:$F$506,0),1),""))</f>
        <v/>
      </c>
    </row>
    <row r="155" spans="2:13" x14ac:dyDescent="0.25">
      <c r="B155" s="2">
        <f>COUNTA($B$6:B154)</f>
        <v>149</v>
      </c>
      <c r="C155" s="94"/>
      <c r="D155" s="16" t="str">
        <f>IFERROR(IF(C155="","",INDEX(CadEqu!$E$7:$F$506,MATCH(tbLancamentos[[#This Row],[Equipamento]],CadEqu!$F$7:$F$506,0),1)),"")</f>
        <v/>
      </c>
      <c r="E155" s="94"/>
      <c r="F155" s="95"/>
      <c r="G155" s="95"/>
      <c r="H155" s="96" t="str">
        <f ca="1">IF(tbLancamentos[Momento da falha]="","",IF(tbLancamentos[Momento do retorno]="",NOW()-tbLancamentos[Momento da falha],tbLancamentos[Momento do retorno]-tbLancamentos[Momento da falha]))</f>
        <v/>
      </c>
      <c r="I155" s="96" t="str">
        <f>IF(tbLancamentos[[#This Row],[Momento da falha]]="","",IFERROR(VLOOKUP(tbLancamentos[[#This Row],[Equipamento]],CadEqu!$F$7:$H$506,3,FALSE),""))</f>
        <v/>
      </c>
      <c r="J155" s="96" t="str">
        <f ca="1">IF(tbLancamentos[Tempo indisponível]="","",IF(tbLancamentos[Tempo indisponível]&lt;=tbLancamentos[Meta tempo reparo],0,tbLancamentos[Tempo indisponível]-tbLancamentos[Meta tempo reparo]))</f>
        <v/>
      </c>
      <c r="K15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5" s="97"/>
      <c r="M155" s="98" t="str">
        <f>IF(tbLancamentos[[#This Row],[Equipamento]]="","",IFERROR(INDEX(CadEqu!$C$7:$F$506,MATCH(tbLancamentos[[#This Row],[Equipamento]],CadEqu!$F$7:$F$506,0),1),""))</f>
        <v/>
      </c>
    </row>
    <row r="156" spans="2:13" x14ac:dyDescent="0.25">
      <c r="B156" s="2">
        <f>COUNTA($B$6:B155)</f>
        <v>150</v>
      </c>
      <c r="C156" s="94"/>
      <c r="D156" s="16" t="str">
        <f>IFERROR(IF(C156="","",INDEX(CadEqu!$E$7:$F$506,MATCH(tbLancamentos[[#This Row],[Equipamento]],CadEqu!$F$7:$F$506,0),1)),"")</f>
        <v/>
      </c>
      <c r="E156" s="94"/>
      <c r="F156" s="95"/>
      <c r="G156" s="95"/>
      <c r="H156" s="96" t="str">
        <f ca="1">IF(tbLancamentos[Momento da falha]="","",IF(tbLancamentos[Momento do retorno]="",NOW()-tbLancamentos[Momento da falha],tbLancamentos[Momento do retorno]-tbLancamentos[Momento da falha]))</f>
        <v/>
      </c>
      <c r="I156" s="96" t="str">
        <f>IF(tbLancamentos[[#This Row],[Momento da falha]]="","",IFERROR(VLOOKUP(tbLancamentos[[#This Row],[Equipamento]],CadEqu!$F$7:$H$506,3,FALSE),""))</f>
        <v/>
      </c>
      <c r="J156" s="96" t="str">
        <f ca="1">IF(tbLancamentos[Tempo indisponível]="","",IF(tbLancamentos[Tempo indisponível]&lt;=tbLancamentos[Meta tempo reparo],0,tbLancamentos[Tempo indisponível]-tbLancamentos[Meta tempo reparo]))</f>
        <v/>
      </c>
      <c r="K15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6" s="97"/>
      <c r="M156" s="98" t="str">
        <f>IF(tbLancamentos[[#This Row],[Equipamento]]="","",IFERROR(INDEX(CadEqu!$C$7:$F$506,MATCH(tbLancamentos[[#This Row],[Equipamento]],CadEqu!$F$7:$F$506,0),1),""))</f>
        <v/>
      </c>
    </row>
    <row r="157" spans="2:13" x14ac:dyDescent="0.25">
      <c r="B157" s="2">
        <f>COUNTA($B$6:B156)</f>
        <v>151</v>
      </c>
      <c r="C157" s="94"/>
      <c r="D157" s="16" t="str">
        <f>IFERROR(IF(C157="","",INDEX(CadEqu!$E$7:$F$506,MATCH(tbLancamentos[[#This Row],[Equipamento]],CadEqu!$F$7:$F$506,0),1)),"")</f>
        <v/>
      </c>
      <c r="E157" s="94"/>
      <c r="F157" s="95"/>
      <c r="G157" s="95"/>
      <c r="H157" s="96" t="str">
        <f ca="1">IF(tbLancamentos[Momento da falha]="","",IF(tbLancamentos[Momento do retorno]="",NOW()-tbLancamentos[Momento da falha],tbLancamentos[Momento do retorno]-tbLancamentos[Momento da falha]))</f>
        <v/>
      </c>
      <c r="I157" s="96" t="str">
        <f>IF(tbLancamentos[[#This Row],[Momento da falha]]="","",IFERROR(VLOOKUP(tbLancamentos[[#This Row],[Equipamento]],CadEqu!$F$7:$H$506,3,FALSE),""))</f>
        <v/>
      </c>
      <c r="J157" s="96" t="str">
        <f ca="1">IF(tbLancamentos[Tempo indisponível]="","",IF(tbLancamentos[Tempo indisponível]&lt;=tbLancamentos[Meta tempo reparo],0,tbLancamentos[Tempo indisponível]-tbLancamentos[Meta tempo reparo]))</f>
        <v/>
      </c>
      <c r="K15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7" s="97"/>
      <c r="M157" s="98" t="str">
        <f>IF(tbLancamentos[[#This Row],[Equipamento]]="","",IFERROR(INDEX(CadEqu!$C$7:$F$506,MATCH(tbLancamentos[[#This Row],[Equipamento]],CadEqu!$F$7:$F$506,0),1),""))</f>
        <v/>
      </c>
    </row>
    <row r="158" spans="2:13" x14ac:dyDescent="0.25">
      <c r="B158" s="2">
        <f>COUNTA($B$6:B157)</f>
        <v>152</v>
      </c>
      <c r="C158" s="94"/>
      <c r="D158" s="16" t="str">
        <f>IFERROR(IF(C158="","",INDEX(CadEqu!$E$7:$F$506,MATCH(tbLancamentos[[#This Row],[Equipamento]],CadEqu!$F$7:$F$506,0),1)),"")</f>
        <v/>
      </c>
      <c r="E158" s="94"/>
      <c r="F158" s="95"/>
      <c r="G158" s="95"/>
      <c r="H158" s="96" t="str">
        <f ca="1">IF(tbLancamentos[Momento da falha]="","",IF(tbLancamentos[Momento do retorno]="",NOW()-tbLancamentos[Momento da falha],tbLancamentos[Momento do retorno]-tbLancamentos[Momento da falha]))</f>
        <v/>
      </c>
      <c r="I158" s="96" t="str">
        <f>IF(tbLancamentos[[#This Row],[Momento da falha]]="","",IFERROR(VLOOKUP(tbLancamentos[[#This Row],[Equipamento]],CadEqu!$F$7:$H$506,3,FALSE),""))</f>
        <v/>
      </c>
      <c r="J158" s="96" t="str">
        <f ca="1">IF(tbLancamentos[Tempo indisponível]="","",IF(tbLancamentos[Tempo indisponível]&lt;=tbLancamentos[Meta tempo reparo],0,tbLancamentos[Tempo indisponível]-tbLancamentos[Meta tempo reparo]))</f>
        <v/>
      </c>
      <c r="K15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8" s="97"/>
      <c r="M158" s="98" t="str">
        <f>IF(tbLancamentos[[#This Row],[Equipamento]]="","",IFERROR(INDEX(CadEqu!$C$7:$F$506,MATCH(tbLancamentos[[#This Row],[Equipamento]],CadEqu!$F$7:$F$506,0),1),""))</f>
        <v/>
      </c>
    </row>
    <row r="159" spans="2:13" x14ac:dyDescent="0.25">
      <c r="B159" s="2">
        <f>COUNTA($B$6:B158)</f>
        <v>153</v>
      </c>
      <c r="C159" s="94"/>
      <c r="D159" s="16" t="str">
        <f>IFERROR(IF(C159="","",INDEX(CadEqu!$E$7:$F$506,MATCH(tbLancamentos[[#This Row],[Equipamento]],CadEqu!$F$7:$F$506,0),1)),"")</f>
        <v/>
      </c>
      <c r="E159" s="94"/>
      <c r="F159" s="95"/>
      <c r="G159" s="95"/>
      <c r="H159" s="96" t="str">
        <f ca="1">IF(tbLancamentos[Momento da falha]="","",IF(tbLancamentos[Momento do retorno]="",NOW()-tbLancamentos[Momento da falha],tbLancamentos[Momento do retorno]-tbLancamentos[Momento da falha]))</f>
        <v/>
      </c>
      <c r="I159" s="96" t="str">
        <f>IF(tbLancamentos[[#This Row],[Momento da falha]]="","",IFERROR(VLOOKUP(tbLancamentos[[#This Row],[Equipamento]],CadEqu!$F$7:$H$506,3,FALSE),""))</f>
        <v/>
      </c>
      <c r="J159" s="96" t="str">
        <f ca="1">IF(tbLancamentos[Tempo indisponível]="","",IF(tbLancamentos[Tempo indisponível]&lt;=tbLancamentos[Meta tempo reparo],0,tbLancamentos[Tempo indisponível]-tbLancamentos[Meta tempo reparo]))</f>
        <v/>
      </c>
      <c r="K15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59" s="97"/>
      <c r="M159" s="98" t="str">
        <f>IF(tbLancamentos[[#This Row],[Equipamento]]="","",IFERROR(INDEX(CadEqu!$C$7:$F$506,MATCH(tbLancamentos[[#This Row],[Equipamento]],CadEqu!$F$7:$F$506,0),1),""))</f>
        <v/>
      </c>
    </row>
    <row r="160" spans="2:13" x14ac:dyDescent="0.25">
      <c r="B160" s="2">
        <f>COUNTA($B$6:B159)</f>
        <v>154</v>
      </c>
      <c r="C160" s="94"/>
      <c r="D160" s="16" t="str">
        <f>IFERROR(IF(C160="","",INDEX(CadEqu!$E$7:$F$506,MATCH(tbLancamentos[[#This Row],[Equipamento]],CadEqu!$F$7:$F$506,0),1)),"")</f>
        <v/>
      </c>
      <c r="E160" s="94"/>
      <c r="F160" s="95"/>
      <c r="G160" s="95"/>
      <c r="H160" s="96" t="str">
        <f ca="1">IF(tbLancamentos[Momento da falha]="","",IF(tbLancamentos[Momento do retorno]="",NOW()-tbLancamentos[Momento da falha],tbLancamentos[Momento do retorno]-tbLancamentos[Momento da falha]))</f>
        <v/>
      </c>
      <c r="I160" s="96" t="str">
        <f>IF(tbLancamentos[[#This Row],[Momento da falha]]="","",IFERROR(VLOOKUP(tbLancamentos[[#This Row],[Equipamento]],CadEqu!$F$7:$H$506,3,FALSE),""))</f>
        <v/>
      </c>
      <c r="J160" s="96" t="str">
        <f ca="1">IF(tbLancamentos[Tempo indisponível]="","",IF(tbLancamentos[Tempo indisponível]&lt;=tbLancamentos[Meta tempo reparo],0,tbLancamentos[Tempo indisponível]-tbLancamentos[Meta tempo reparo]))</f>
        <v/>
      </c>
      <c r="K16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0" s="97"/>
      <c r="M160" s="98" t="str">
        <f>IF(tbLancamentos[[#This Row],[Equipamento]]="","",IFERROR(INDEX(CadEqu!$C$7:$F$506,MATCH(tbLancamentos[[#This Row],[Equipamento]],CadEqu!$F$7:$F$506,0),1),""))</f>
        <v/>
      </c>
    </row>
    <row r="161" spans="2:13" x14ac:dyDescent="0.25">
      <c r="B161" s="2">
        <f>COUNTA($B$6:B160)</f>
        <v>155</v>
      </c>
      <c r="C161" s="94"/>
      <c r="D161" s="16" t="str">
        <f>IFERROR(IF(C161="","",INDEX(CadEqu!$E$7:$F$506,MATCH(tbLancamentos[[#This Row],[Equipamento]],CadEqu!$F$7:$F$506,0),1)),"")</f>
        <v/>
      </c>
      <c r="E161" s="94"/>
      <c r="F161" s="95"/>
      <c r="G161" s="95"/>
      <c r="H161" s="96" t="str">
        <f ca="1">IF(tbLancamentos[Momento da falha]="","",IF(tbLancamentos[Momento do retorno]="",NOW()-tbLancamentos[Momento da falha],tbLancamentos[Momento do retorno]-tbLancamentos[Momento da falha]))</f>
        <v/>
      </c>
      <c r="I161" s="96" t="str">
        <f>IF(tbLancamentos[[#This Row],[Momento da falha]]="","",IFERROR(VLOOKUP(tbLancamentos[[#This Row],[Equipamento]],CadEqu!$F$7:$H$506,3,FALSE),""))</f>
        <v/>
      </c>
      <c r="J161" s="96" t="str">
        <f ca="1">IF(tbLancamentos[Tempo indisponível]="","",IF(tbLancamentos[Tempo indisponível]&lt;=tbLancamentos[Meta tempo reparo],0,tbLancamentos[Tempo indisponível]-tbLancamentos[Meta tempo reparo]))</f>
        <v/>
      </c>
      <c r="K16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1" s="97"/>
      <c r="M161" s="98" t="str">
        <f>IF(tbLancamentos[[#This Row],[Equipamento]]="","",IFERROR(INDEX(CadEqu!$C$7:$F$506,MATCH(tbLancamentos[[#This Row],[Equipamento]],CadEqu!$F$7:$F$506,0),1),""))</f>
        <v/>
      </c>
    </row>
    <row r="162" spans="2:13" x14ac:dyDescent="0.25">
      <c r="B162" s="2">
        <f>COUNTA($B$6:B161)</f>
        <v>156</v>
      </c>
      <c r="C162" s="94"/>
      <c r="D162" s="16" t="str">
        <f>IFERROR(IF(C162="","",INDEX(CadEqu!$E$7:$F$506,MATCH(tbLancamentos[[#This Row],[Equipamento]],CadEqu!$F$7:$F$506,0),1)),"")</f>
        <v/>
      </c>
      <c r="E162" s="94"/>
      <c r="F162" s="95"/>
      <c r="G162" s="95"/>
      <c r="H162" s="96" t="str">
        <f ca="1">IF(tbLancamentos[Momento da falha]="","",IF(tbLancamentos[Momento do retorno]="",NOW()-tbLancamentos[Momento da falha],tbLancamentos[Momento do retorno]-tbLancamentos[Momento da falha]))</f>
        <v/>
      </c>
      <c r="I162" s="96" t="str">
        <f>IF(tbLancamentos[[#This Row],[Momento da falha]]="","",IFERROR(VLOOKUP(tbLancamentos[[#This Row],[Equipamento]],CadEqu!$F$7:$H$506,3,FALSE),""))</f>
        <v/>
      </c>
      <c r="J162" s="96" t="str">
        <f ca="1">IF(tbLancamentos[Tempo indisponível]="","",IF(tbLancamentos[Tempo indisponível]&lt;=tbLancamentos[Meta tempo reparo],0,tbLancamentos[Tempo indisponível]-tbLancamentos[Meta tempo reparo]))</f>
        <v/>
      </c>
      <c r="K16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2" s="97"/>
      <c r="M162" s="98" t="str">
        <f>IF(tbLancamentos[[#This Row],[Equipamento]]="","",IFERROR(INDEX(CadEqu!$C$7:$F$506,MATCH(tbLancamentos[[#This Row],[Equipamento]],CadEqu!$F$7:$F$506,0),1),""))</f>
        <v/>
      </c>
    </row>
    <row r="163" spans="2:13" x14ac:dyDescent="0.25">
      <c r="B163" s="2">
        <f>COUNTA($B$6:B162)</f>
        <v>157</v>
      </c>
      <c r="C163" s="94"/>
      <c r="D163" s="16" t="str">
        <f>IFERROR(IF(C163="","",INDEX(CadEqu!$E$7:$F$506,MATCH(tbLancamentos[[#This Row],[Equipamento]],CadEqu!$F$7:$F$506,0),1)),"")</f>
        <v/>
      </c>
      <c r="E163" s="94"/>
      <c r="F163" s="95"/>
      <c r="G163" s="95"/>
      <c r="H163" s="96" t="str">
        <f ca="1">IF(tbLancamentos[Momento da falha]="","",IF(tbLancamentos[Momento do retorno]="",NOW()-tbLancamentos[Momento da falha],tbLancamentos[Momento do retorno]-tbLancamentos[Momento da falha]))</f>
        <v/>
      </c>
      <c r="I163" s="96" t="str">
        <f>IF(tbLancamentos[[#This Row],[Momento da falha]]="","",IFERROR(VLOOKUP(tbLancamentos[[#This Row],[Equipamento]],CadEqu!$F$7:$H$506,3,FALSE),""))</f>
        <v/>
      </c>
      <c r="J163" s="96" t="str">
        <f ca="1">IF(tbLancamentos[Tempo indisponível]="","",IF(tbLancamentos[Tempo indisponível]&lt;=tbLancamentos[Meta tempo reparo],0,tbLancamentos[Tempo indisponível]-tbLancamentos[Meta tempo reparo]))</f>
        <v/>
      </c>
      <c r="K16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3" s="97"/>
      <c r="M163" s="98" t="str">
        <f>IF(tbLancamentos[[#This Row],[Equipamento]]="","",IFERROR(INDEX(CadEqu!$C$7:$F$506,MATCH(tbLancamentos[[#This Row],[Equipamento]],CadEqu!$F$7:$F$506,0),1),""))</f>
        <v/>
      </c>
    </row>
    <row r="164" spans="2:13" x14ac:dyDescent="0.25">
      <c r="B164" s="2">
        <f>COUNTA($B$6:B163)</f>
        <v>158</v>
      </c>
      <c r="C164" s="94"/>
      <c r="D164" s="16" t="str">
        <f>IFERROR(IF(C164="","",INDEX(CadEqu!$E$7:$F$506,MATCH(tbLancamentos[[#This Row],[Equipamento]],CadEqu!$F$7:$F$506,0),1)),"")</f>
        <v/>
      </c>
      <c r="E164" s="94"/>
      <c r="F164" s="95"/>
      <c r="G164" s="95"/>
      <c r="H164" s="96" t="str">
        <f ca="1">IF(tbLancamentos[Momento da falha]="","",IF(tbLancamentos[Momento do retorno]="",NOW()-tbLancamentos[Momento da falha],tbLancamentos[Momento do retorno]-tbLancamentos[Momento da falha]))</f>
        <v/>
      </c>
      <c r="I164" s="96" t="str">
        <f>IF(tbLancamentos[[#This Row],[Momento da falha]]="","",IFERROR(VLOOKUP(tbLancamentos[[#This Row],[Equipamento]],CadEqu!$F$7:$H$506,3,FALSE),""))</f>
        <v/>
      </c>
      <c r="J164" s="96" t="str">
        <f ca="1">IF(tbLancamentos[Tempo indisponível]="","",IF(tbLancamentos[Tempo indisponível]&lt;=tbLancamentos[Meta tempo reparo],0,tbLancamentos[Tempo indisponível]-tbLancamentos[Meta tempo reparo]))</f>
        <v/>
      </c>
      <c r="K16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4" s="97"/>
      <c r="M164" s="98" t="str">
        <f>IF(tbLancamentos[[#This Row],[Equipamento]]="","",IFERROR(INDEX(CadEqu!$C$7:$F$506,MATCH(tbLancamentos[[#This Row],[Equipamento]],CadEqu!$F$7:$F$506,0),1),""))</f>
        <v/>
      </c>
    </row>
    <row r="165" spans="2:13" x14ac:dyDescent="0.25">
      <c r="B165" s="2">
        <f>COUNTA($B$6:B164)</f>
        <v>159</v>
      </c>
      <c r="C165" s="94"/>
      <c r="D165" s="16" t="str">
        <f>IFERROR(IF(C165="","",INDEX(CadEqu!$E$7:$F$506,MATCH(tbLancamentos[[#This Row],[Equipamento]],CadEqu!$F$7:$F$506,0),1)),"")</f>
        <v/>
      </c>
      <c r="E165" s="94"/>
      <c r="F165" s="95"/>
      <c r="G165" s="95"/>
      <c r="H165" s="96" t="str">
        <f ca="1">IF(tbLancamentos[Momento da falha]="","",IF(tbLancamentos[Momento do retorno]="",NOW()-tbLancamentos[Momento da falha],tbLancamentos[Momento do retorno]-tbLancamentos[Momento da falha]))</f>
        <v/>
      </c>
      <c r="I165" s="96" t="str">
        <f>IF(tbLancamentos[[#This Row],[Momento da falha]]="","",IFERROR(VLOOKUP(tbLancamentos[[#This Row],[Equipamento]],CadEqu!$F$7:$H$506,3,FALSE),""))</f>
        <v/>
      </c>
      <c r="J165" s="96" t="str">
        <f ca="1">IF(tbLancamentos[Tempo indisponível]="","",IF(tbLancamentos[Tempo indisponível]&lt;=tbLancamentos[Meta tempo reparo],0,tbLancamentos[Tempo indisponível]-tbLancamentos[Meta tempo reparo]))</f>
        <v/>
      </c>
      <c r="K16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5" s="97"/>
      <c r="M165" s="98" t="str">
        <f>IF(tbLancamentos[[#This Row],[Equipamento]]="","",IFERROR(INDEX(CadEqu!$C$7:$F$506,MATCH(tbLancamentos[[#This Row],[Equipamento]],CadEqu!$F$7:$F$506,0),1),""))</f>
        <v/>
      </c>
    </row>
    <row r="166" spans="2:13" x14ac:dyDescent="0.25">
      <c r="B166" s="2">
        <f>COUNTA($B$6:B165)</f>
        <v>160</v>
      </c>
      <c r="C166" s="94"/>
      <c r="D166" s="16" t="str">
        <f>IFERROR(IF(C166="","",INDEX(CadEqu!$E$7:$F$506,MATCH(tbLancamentos[[#This Row],[Equipamento]],CadEqu!$F$7:$F$506,0),1)),"")</f>
        <v/>
      </c>
      <c r="E166" s="94"/>
      <c r="F166" s="95"/>
      <c r="G166" s="95"/>
      <c r="H166" s="96" t="str">
        <f ca="1">IF(tbLancamentos[Momento da falha]="","",IF(tbLancamentos[Momento do retorno]="",NOW()-tbLancamentos[Momento da falha],tbLancamentos[Momento do retorno]-tbLancamentos[Momento da falha]))</f>
        <v/>
      </c>
      <c r="I166" s="96" t="str">
        <f>IF(tbLancamentos[[#This Row],[Momento da falha]]="","",IFERROR(VLOOKUP(tbLancamentos[[#This Row],[Equipamento]],CadEqu!$F$7:$H$506,3,FALSE),""))</f>
        <v/>
      </c>
      <c r="J166" s="96" t="str">
        <f ca="1">IF(tbLancamentos[Tempo indisponível]="","",IF(tbLancamentos[Tempo indisponível]&lt;=tbLancamentos[Meta tempo reparo],0,tbLancamentos[Tempo indisponível]-tbLancamentos[Meta tempo reparo]))</f>
        <v/>
      </c>
      <c r="K16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6" s="97"/>
      <c r="M166" s="98" t="str">
        <f>IF(tbLancamentos[[#This Row],[Equipamento]]="","",IFERROR(INDEX(CadEqu!$C$7:$F$506,MATCH(tbLancamentos[[#This Row],[Equipamento]],CadEqu!$F$7:$F$506,0),1),""))</f>
        <v/>
      </c>
    </row>
    <row r="167" spans="2:13" x14ac:dyDescent="0.25">
      <c r="B167" s="2">
        <f>COUNTA($B$6:B166)</f>
        <v>161</v>
      </c>
      <c r="C167" s="94"/>
      <c r="D167" s="16" t="str">
        <f>IFERROR(IF(C167="","",INDEX(CadEqu!$E$7:$F$506,MATCH(tbLancamentos[[#This Row],[Equipamento]],CadEqu!$F$7:$F$506,0),1)),"")</f>
        <v/>
      </c>
      <c r="E167" s="94"/>
      <c r="F167" s="95"/>
      <c r="G167" s="95"/>
      <c r="H167" s="96" t="str">
        <f ca="1">IF(tbLancamentos[Momento da falha]="","",IF(tbLancamentos[Momento do retorno]="",NOW()-tbLancamentos[Momento da falha],tbLancamentos[Momento do retorno]-tbLancamentos[Momento da falha]))</f>
        <v/>
      </c>
      <c r="I167" s="96" t="str">
        <f>IF(tbLancamentos[[#This Row],[Momento da falha]]="","",IFERROR(VLOOKUP(tbLancamentos[[#This Row],[Equipamento]],CadEqu!$F$7:$H$506,3,FALSE),""))</f>
        <v/>
      </c>
      <c r="J167" s="96" t="str">
        <f ca="1">IF(tbLancamentos[Tempo indisponível]="","",IF(tbLancamentos[Tempo indisponível]&lt;=tbLancamentos[Meta tempo reparo],0,tbLancamentos[Tempo indisponível]-tbLancamentos[Meta tempo reparo]))</f>
        <v/>
      </c>
      <c r="K16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7" s="97"/>
      <c r="M167" s="98" t="str">
        <f>IF(tbLancamentos[[#This Row],[Equipamento]]="","",IFERROR(INDEX(CadEqu!$C$7:$F$506,MATCH(tbLancamentos[[#This Row],[Equipamento]],CadEqu!$F$7:$F$506,0),1),""))</f>
        <v/>
      </c>
    </row>
    <row r="168" spans="2:13" x14ac:dyDescent="0.25">
      <c r="B168" s="2">
        <f>COUNTA($B$6:B167)</f>
        <v>162</v>
      </c>
      <c r="C168" s="94"/>
      <c r="D168" s="16" t="str">
        <f>IFERROR(IF(C168="","",INDEX(CadEqu!$E$7:$F$506,MATCH(tbLancamentos[[#This Row],[Equipamento]],CadEqu!$F$7:$F$506,0),1)),"")</f>
        <v/>
      </c>
      <c r="E168" s="94"/>
      <c r="F168" s="95"/>
      <c r="G168" s="95"/>
      <c r="H168" s="96" t="str">
        <f ca="1">IF(tbLancamentos[Momento da falha]="","",IF(tbLancamentos[Momento do retorno]="",NOW()-tbLancamentos[Momento da falha],tbLancamentos[Momento do retorno]-tbLancamentos[Momento da falha]))</f>
        <v/>
      </c>
      <c r="I168" s="96" t="str">
        <f>IF(tbLancamentos[[#This Row],[Momento da falha]]="","",IFERROR(VLOOKUP(tbLancamentos[[#This Row],[Equipamento]],CadEqu!$F$7:$H$506,3,FALSE),""))</f>
        <v/>
      </c>
      <c r="J168" s="96" t="str">
        <f ca="1">IF(tbLancamentos[Tempo indisponível]="","",IF(tbLancamentos[Tempo indisponível]&lt;=tbLancamentos[Meta tempo reparo],0,tbLancamentos[Tempo indisponível]-tbLancamentos[Meta tempo reparo]))</f>
        <v/>
      </c>
      <c r="K16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8" s="97"/>
      <c r="M168" s="98" t="str">
        <f>IF(tbLancamentos[[#This Row],[Equipamento]]="","",IFERROR(INDEX(CadEqu!$C$7:$F$506,MATCH(tbLancamentos[[#This Row],[Equipamento]],CadEqu!$F$7:$F$506,0),1),""))</f>
        <v/>
      </c>
    </row>
    <row r="169" spans="2:13" x14ac:dyDescent="0.25">
      <c r="B169" s="2">
        <f>COUNTA($B$6:B168)</f>
        <v>163</v>
      </c>
      <c r="C169" s="94"/>
      <c r="D169" s="16" t="str">
        <f>IFERROR(IF(C169="","",INDEX(CadEqu!$E$7:$F$506,MATCH(tbLancamentos[[#This Row],[Equipamento]],CadEqu!$F$7:$F$506,0),1)),"")</f>
        <v/>
      </c>
      <c r="E169" s="94"/>
      <c r="F169" s="95"/>
      <c r="G169" s="95"/>
      <c r="H169" s="96" t="str">
        <f ca="1">IF(tbLancamentos[Momento da falha]="","",IF(tbLancamentos[Momento do retorno]="",NOW()-tbLancamentos[Momento da falha],tbLancamentos[Momento do retorno]-tbLancamentos[Momento da falha]))</f>
        <v/>
      </c>
      <c r="I169" s="96" t="str">
        <f>IF(tbLancamentos[[#This Row],[Momento da falha]]="","",IFERROR(VLOOKUP(tbLancamentos[[#This Row],[Equipamento]],CadEqu!$F$7:$H$506,3,FALSE),""))</f>
        <v/>
      </c>
      <c r="J169" s="96" t="str">
        <f ca="1">IF(tbLancamentos[Tempo indisponível]="","",IF(tbLancamentos[Tempo indisponível]&lt;=tbLancamentos[Meta tempo reparo],0,tbLancamentos[Tempo indisponível]-tbLancamentos[Meta tempo reparo]))</f>
        <v/>
      </c>
      <c r="K16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69" s="97"/>
      <c r="M169" s="98" t="str">
        <f>IF(tbLancamentos[[#This Row],[Equipamento]]="","",IFERROR(INDEX(CadEqu!$C$7:$F$506,MATCH(tbLancamentos[[#This Row],[Equipamento]],CadEqu!$F$7:$F$506,0),1),""))</f>
        <v/>
      </c>
    </row>
    <row r="170" spans="2:13" x14ac:dyDescent="0.25">
      <c r="B170" s="2">
        <f>COUNTA($B$6:B169)</f>
        <v>164</v>
      </c>
      <c r="C170" s="94"/>
      <c r="D170" s="16" t="str">
        <f>IFERROR(IF(C170="","",INDEX(CadEqu!$E$7:$F$506,MATCH(tbLancamentos[[#This Row],[Equipamento]],CadEqu!$F$7:$F$506,0),1)),"")</f>
        <v/>
      </c>
      <c r="E170" s="94"/>
      <c r="F170" s="95"/>
      <c r="G170" s="95"/>
      <c r="H170" s="96" t="str">
        <f ca="1">IF(tbLancamentos[Momento da falha]="","",IF(tbLancamentos[Momento do retorno]="",NOW()-tbLancamentos[Momento da falha],tbLancamentos[Momento do retorno]-tbLancamentos[Momento da falha]))</f>
        <v/>
      </c>
      <c r="I170" s="96" t="str">
        <f>IF(tbLancamentos[[#This Row],[Momento da falha]]="","",IFERROR(VLOOKUP(tbLancamentos[[#This Row],[Equipamento]],CadEqu!$F$7:$H$506,3,FALSE),""))</f>
        <v/>
      </c>
      <c r="J170" s="96" t="str">
        <f ca="1">IF(tbLancamentos[Tempo indisponível]="","",IF(tbLancamentos[Tempo indisponível]&lt;=tbLancamentos[Meta tempo reparo],0,tbLancamentos[Tempo indisponível]-tbLancamentos[Meta tempo reparo]))</f>
        <v/>
      </c>
      <c r="K17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0" s="97"/>
      <c r="M170" s="98" t="str">
        <f>IF(tbLancamentos[[#This Row],[Equipamento]]="","",IFERROR(INDEX(CadEqu!$C$7:$F$506,MATCH(tbLancamentos[[#This Row],[Equipamento]],CadEqu!$F$7:$F$506,0),1),""))</f>
        <v/>
      </c>
    </row>
    <row r="171" spans="2:13" x14ac:dyDescent="0.25">
      <c r="B171" s="2">
        <f>COUNTA($B$6:B170)</f>
        <v>165</v>
      </c>
      <c r="C171" s="94"/>
      <c r="D171" s="16" t="str">
        <f>IFERROR(IF(C171="","",INDEX(CadEqu!$E$7:$F$506,MATCH(tbLancamentos[[#This Row],[Equipamento]],CadEqu!$F$7:$F$506,0),1)),"")</f>
        <v/>
      </c>
      <c r="E171" s="94"/>
      <c r="F171" s="95"/>
      <c r="G171" s="95"/>
      <c r="H171" s="96" t="str">
        <f ca="1">IF(tbLancamentos[Momento da falha]="","",IF(tbLancamentos[Momento do retorno]="",NOW()-tbLancamentos[Momento da falha],tbLancamentos[Momento do retorno]-tbLancamentos[Momento da falha]))</f>
        <v/>
      </c>
      <c r="I171" s="96" t="str">
        <f>IF(tbLancamentos[[#This Row],[Momento da falha]]="","",IFERROR(VLOOKUP(tbLancamentos[[#This Row],[Equipamento]],CadEqu!$F$7:$H$506,3,FALSE),""))</f>
        <v/>
      </c>
      <c r="J171" s="96" t="str">
        <f ca="1">IF(tbLancamentos[Tempo indisponível]="","",IF(tbLancamentos[Tempo indisponível]&lt;=tbLancamentos[Meta tempo reparo],0,tbLancamentos[Tempo indisponível]-tbLancamentos[Meta tempo reparo]))</f>
        <v/>
      </c>
      <c r="K17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1" s="97"/>
      <c r="M171" s="98" t="str">
        <f>IF(tbLancamentos[[#This Row],[Equipamento]]="","",IFERROR(INDEX(CadEqu!$C$7:$F$506,MATCH(tbLancamentos[[#This Row],[Equipamento]],CadEqu!$F$7:$F$506,0),1),""))</f>
        <v/>
      </c>
    </row>
    <row r="172" spans="2:13" x14ac:dyDescent="0.25">
      <c r="B172" s="2">
        <f>COUNTA($B$6:B171)</f>
        <v>166</v>
      </c>
      <c r="C172" s="94"/>
      <c r="D172" s="16" t="str">
        <f>IFERROR(IF(C172="","",INDEX(CadEqu!$E$7:$F$506,MATCH(tbLancamentos[[#This Row],[Equipamento]],CadEqu!$F$7:$F$506,0),1)),"")</f>
        <v/>
      </c>
      <c r="E172" s="94"/>
      <c r="F172" s="95"/>
      <c r="G172" s="95"/>
      <c r="H172" s="96" t="str">
        <f ca="1">IF(tbLancamentos[Momento da falha]="","",IF(tbLancamentos[Momento do retorno]="",NOW()-tbLancamentos[Momento da falha],tbLancamentos[Momento do retorno]-tbLancamentos[Momento da falha]))</f>
        <v/>
      </c>
      <c r="I172" s="96" t="str">
        <f>IF(tbLancamentos[[#This Row],[Momento da falha]]="","",IFERROR(VLOOKUP(tbLancamentos[[#This Row],[Equipamento]],CadEqu!$F$7:$H$506,3,FALSE),""))</f>
        <v/>
      </c>
      <c r="J172" s="96" t="str">
        <f ca="1">IF(tbLancamentos[Tempo indisponível]="","",IF(tbLancamentos[Tempo indisponível]&lt;=tbLancamentos[Meta tempo reparo],0,tbLancamentos[Tempo indisponível]-tbLancamentos[Meta tempo reparo]))</f>
        <v/>
      </c>
      <c r="K17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2" s="97"/>
      <c r="M172" s="98" t="str">
        <f>IF(tbLancamentos[[#This Row],[Equipamento]]="","",IFERROR(INDEX(CadEqu!$C$7:$F$506,MATCH(tbLancamentos[[#This Row],[Equipamento]],CadEqu!$F$7:$F$506,0),1),""))</f>
        <v/>
      </c>
    </row>
    <row r="173" spans="2:13" x14ac:dyDescent="0.25">
      <c r="B173" s="2">
        <f>COUNTA($B$6:B172)</f>
        <v>167</v>
      </c>
      <c r="C173" s="94"/>
      <c r="D173" s="16" t="str">
        <f>IFERROR(IF(C173="","",INDEX(CadEqu!$E$7:$F$506,MATCH(tbLancamentos[[#This Row],[Equipamento]],CadEqu!$F$7:$F$506,0),1)),"")</f>
        <v/>
      </c>
      <c r="E173" s="94"/>
      <c r="F173" s="95"/>
      <c r="G173" s="95"/>
      <c r="H173" s="96" t="str">
        <f ca="1">IF(tbLancamentos[Momento da falha]="","",IF(tbLancamentos[Momento do retorno]="",NOW()-tbLancamentos[Momento da falha],tbLancamentos[Momento do retorno]-tbLancamentos[Momento da falha]))</f>
        <v/>
      </c>
      <c r="I173" s="96" t="str">
        <f>IF(tbLancamentos[[#This Row],[Momento da falha]]="","",IFERROR(VLOOKUP(tbLancamentos[[#This Row],[Equipamento]],CadEqu!$F$7:$H$506,3,FALSE),""))</f>
        <v/>
      </c>
      <c r="J173" s="96" t="str">
        <f ca="1">IF(tbLancamentos[Tempo indisponível]="","",IF(tbLancamentos[Tempo indisponível]&lt;=tbLancamentos[Meta tempo reparo],0,tbLancamentos[Tempo indisponível]-tbLancamentos[Meta tempo reparo]))</f>
        <v/>
      </c>
      <c r="K17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3" s="97"/>
      <c r="M173" s="98" t="str">
        <f>IF(tbLancamentos[[#This Row],[Equipamento]]="","",IFERROR(INDEX(CadEqu!$C$7:$F$506,MATCH(tbLancamentos[[#This Row],[Equipamento]],CadEqu!$F$7:$F$506,0),1),""))</f>
        <v/>
      </c>
    </row>
    <row r="174" spans="2:13" x14ac:dyDescent="0.25">
      <c r="B174" s="2">
        <f>COUNTA($B$6:B173)</f>
        <v>168</v>
      </c>
      <c r="C174" s="94"/>
      <c r="D174" s="16" t="str">
        <f>IFERROR(IF(C174="","",INDEX(CadEqu!$E$7:$F$506,MATCH(tbLancamentos[[#This Row],[Equipamento]],CadEqu!$F$7:$F$506,0),1)),"")</f>
        <v/>
      </c>
      <c r="E174" s="94"/>
      <c r="F174" s="95"/>
      <c r="G174" s="95"/>
      <c r="H174" s="96" t="str">
        <f ca="1">IF(tbLancamentos[Momento da falha]="","",IF(tbLancamentos[Momento do retorno]="",NOW()-tbLancamentos[Momento da falha],tbLancamentos[Momento do retorno]-tbLancamentos[Momento da falha]))</f>
        <v/>
      </c>
      <c r="I174" s="96" t="str">
        <f>IF(tbLancamentos[[#This Row],[Momento da falha]]="","",IFERROR(VLOOKUP(tbLancamentos[[#This Row],[Equipamento]],CadEqu!$F$7:$H$506,3,FALSE),""))</f>
        <v/>
      </c>
      <c r="J174" s="96" t="str">
        <f ca="1">IF(tbLancamentos[Tempo indisponível]="","",IF(tbLancamentos[Tempo indisponível]&lt;=tbLancamentos[Meta tempo reparo],0,tbLancamentos[Tempo indisponível]-tbLancamentos[Meta tempo reparo]))</f>
        <v/>
      </c>
      <c r="K17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4" s="97"/>
      <c r="M174" s="98" t="str">
        <f>IF(tbLancamentos[[#This Row],[Equipamento]]="","",IFERROR(INDEX(CadEqu!$C$7:$F$506,MATCH(tbLancamentos[[#This Row],[Equipamento]],CadEqu!$F$7:$F$506,0),1),""))</f>
        <v/>
      </c>
    </row>
    <row r="175" spans="2:13" x14ac:dyDescent="0.25">
      <c r="B175" s="2">
        <f>COUNTA($B$6:B174)</f>
        <v>169</v>
      </c>
      <c r="C175" s="94"/>
      <c r="D175" s="16" t="str">
        <f>IFERROR(IF(C175="","",INDEX(CadEqu!$E$7:$F$506,MATCH(tbLancamentos[[#This Row],[Equipamento]],CadEqu!$F$7:$F$506,0),1)),"")</f>
        <v/>
      </c>
      <c r="E175" s="94"/>
      <c r="F175" s="95"/>
      <c r="G175" s="95"/>
      <c r="H175" s="96" t="str">
        <f ca="1">IF(tbLancamentos[Momento da falha]="","",IF(tbLancamentos[Momento do retorno]="",NOW()-tbLancamentos[Momento da falha],tbLancamentos[Momento do retorno]-tbLancamentos[Momento da falha]))</f>
        <v/>
      </c>
      <c r="I175" s="96" t="str">
        <f>IF(tbLancamentos[[#This Row],[Momento da falha]]="","",IFERROR(VLOOKUP(tbLancamentos[[#This Row],[Equipamento]],CadEqu!$F$7:$H$506,3,FALSE),""))</f>
        <v/>
      </c>
      <c r="J175" s="96" t="str">
        <f ca="1">IF(tbLancamentos[Tempo indisponível]="","",IF(tbLancamentos[Tempo indisponível]&lt;=tbLancamentos[Meta tempo reparo],0,tbLancamentos[Tempo indisponível]-tbLancamentos[Meta tempo reparo]))</f>
        <v/>
      </c>
      <c r="K17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5" s="97"/>
      <c r="M175" s="98" t="str">
        <f>IF(tbLancamentos[[#This Row],[Equipamento]]="","",IFERROR(INDEX(CadEqu!$C$7:$F$506,MATCH(tbLancamentos[[#This Row],[Equipamento]],CadEqu!$F$7:$F$506,0),1),""))</f>
        <v/>
      </c>
    </row>
    <row r="176" spans="2:13" x14ac:dyDescent="0.25">
      <c r="B176" s="2">
        <f>COUNTA($B$6:B175)</f>
        <v>170</v>
      </c>
      <c r="C176" s="94"/>
      <c r="D176" s="16" t="str">
        <f>IFERROR(IF(C176="","",INDEX(CadEqu!$E$7:$F$506,MATCH(tbLancamentos[[#This Row],[Equipamento]],CadEqu!$F$7:$F$506,0),1)),"")</f>
        <v/>
      </c>
      <c r="E176" s="94"/>
      <c r="F176" s="95"/>
      <c r="G176" s="95"/>
      <c r="H176" s="96" t="str">
        <f ca="1">IF(tbLancamentos[Momento da falha]="","",IF(tbLancamentos[Momento do retorno]="",NOW()-tbLancamentos[Momento da falha],tbLancamentos[Momento do retorno]-tbLancamentos[Momento da falha]))</f>
        <v/>
      </c>
      <c r="I176" s="96" t="str">
        <f>IF(tbLancamentos[[#This Row],[Momento da falha]]="","",IFERROR(VLOOKUP(tbLancamentos[[#This Row],[Equipamento]],CadEqu!$F$7:$H$506,3,FALSE),""))</f>
        <v/>
      </c>
      <c r="J176" s="96" t="str">
        <f ca="1">IF(tbLancamentos[Tempo indisponível]="","",IF(tbLancamentos[Tempo indisponível]&lt;=tbLancamentos[Meta tempo reparo],0,tbLancamentos[Tempo indisponível]-tbLancamentos[Meta tempo reparo]))</f>
        <v/>
      </c>
      <c r="K17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6" s="97"/>
      <c r="M176" s="98" t="str">
        <f>IF(tbLancamentos[[#This Row],[Equipamento]]="","",IFERROR(INDEX(CadEqu!$C$7:$F$506,MATCH(tbLancamentos[[#This Row],[Equipamento]],CadEqu!$F$7:$F$506,0),1),""))</f>
        <v/>
      </c>
    </row>
    <row r="177" spans="2:13" x14ac:dyDescent="0.25">
      <c r="B177" s="2">
        <f>COUNTA($B$6:B176)</f>
        <v>171</v>
      </c>
      <c r="C177" s="94"/>
      <c r="D177" s="16" t="str">
        <f>IFERROR(IF(C177="","",INDEX(CadEqu!$E$7:$F$506,MATCH(tbLancamentos[[#This Row],[Equipamento]],CadEqu!$F$7:$F$506,0),1)),"")</f>
        <v/>
      </c>
      <c r="E177" s="94"/>
      <c r="F177" s="95"/>
      <c r="G177" s="95"/>
      <c r="H177" s="96" t="str">
        <f ca="1">IF(tbLancamentos[Momento da falha]="","",IF(tbLancamentos[Momento do retorno]="",NOW()-tbLancamentos[Momento da falha],tbLancamentos[Momento do retorno]-tbLancamentos[Momento da falha]))</f>
        <v/>
      </c>
      <c r="I177" s="96" t="str">
        <f>IF(tbLancamentos[[#This Row],[Momento da falha]]="","",IFERROR(VLOOKUP(tbLancamentos[[#This Row],[Equipamento]],CadEqu!$F$7:$H$506,3,FALSE),""))</f>
        <v/>
      </c>
      <c r="J177" s="96" t="str">
        <f ca="1">IF(tbLancamentos[Tempo indisponível]="","",IF(tbLancamentos[Tempo indisponível]&lt;=tbLancamentos[Meta tempo reparo],0,tbLancamentos[Tempo indisponível]-tbLancamentos[Meta tempo reparo]))</f>
        <v/>
      </c>
      <c r="K17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7" s="97"/>
      <c r="M177" s="98" t="str">
        <f>IF(tbLancamentos[[#This Row],[Equipamento]]="","",IFERROR(INDEX(CadEqu!$C$7:$F$506,MATCH(tbLancamentos[[#This Row],[Equipamento]],CadEqu!$F$7:$F$506,0),1),""))</f>
        <v/>
      </c>
    </row>
    <row r="178" spans="2:13" x14ac:dyDescent="0.25">
      <c r="B178" s="2">
        <f>COUNTA($B$6:B177)</f>
        <v>172</v>
      </c>
      <c r="C178" s="94"/>
      <c r="D178" s="16" t="str">
        <f>IFERROR(IF(C178="","",INDEX(CadEqu!$E$7:$F$506,MATCH(tbLancamentos[[#This Row],[Equipamento]],CadEqu!$F$7:$F$506,0),1)),"")</f>
        <v/>
      </c>
      <c r="E178" s="94"/>
      <c r="F178" s="95"/>
      <c r="G178" s="95"/>
      <c r="H178" s="96" t="str">
        <f ca="1">IF(tbLancamentos[Momento da falha]="","",IF(tbLancamentos[Momento do retorno]="",NOW()-tbLancamentos[Momento da falha],tbLancamentos[Momento do retorno]-tbLancamentos[Momento da falha]))</f>
        <v/>
      </c>
      <c r="I178" s="96" t="str">
        <f>IF(tbLancamentos[[#This Row],[Momento da falha]]="","",IFERROR(VLOOKUP(tbLancamentos[[#This Row],[Equipamento]],CadEqu!$F$7:$H$506,3,FALSE),""))</f>
        <v/>
      </c>
      <c r="J178" s="96" t="str">
        <f ca="1">IF(tbLancamentos[Tempo indisponível]="","",IF(tbLancamentos[Tempo indisponível]&lt;=tbLancamentos[Meta tempo reparo],0,tbLancamentos[Tempo indisponível]-tbLancamentos[Meta tempo reparo]))</f>
        <v/>
      </c>
      <c r="K17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8" s="97"/>
      <c r="M178" s="98" t="str">
        <f>IF(tbLancamentos[[#This Row],[Equipamento]]="","",IFERROR(INDEX(CadEqu!$C$7:$F$506,MATCH(tbLancamentos[[#This Row],[Equipamento]],CadEqu!$F$7:$F$506,0),1),""))</f>
        <v/>
      </c>
    </row>
    <row r="179" spans="2:13" x14ac:dyDescent="0.25">
      <c r="B179" s="2">
        <f>COUNTA($B$6:B178)</f>
        <v>173</v>
      </c>
      <c r="C179" s="94"/>
      <c r="D179" s="16" t="str">
        <f>IFERROR(IF(C179="","",INDEX(CadEqu!$E$7:$F$506,MATCH(tbLancamentos[[#This Row],[Equipamento]],CadEqu!$F$7:$F$506,0),1)),"")</f>
        <v/>
      </c>
      <c r="E179" s="94"/>
      <c r="F179" s="95"/>
      <c r="G179" s="95"/>
      <c r="H179" s="96" t="str">
        <f ca="1">IF(tbLancamentos[Momento da falha]="","",IF(tbLancamentos[Momento do retorno]="",NOW()-tbLancamentos[Momento da falha],tbLancamentos[Momento do retorno]-tbLancamentos[Momento da falha]))</f>
        <v/>
      </c>
      <c r="I179" s="96" t="str">
        <f>IF(tbLancamentos[[#This Row],[Momento da falha]]="","",IFERROR(VLOOKUP(tbLancamentos[[#This Row],[Equipamento]],CadEqu!$F$7:$H$506,3,FALSE),""))</f>
        <v/>
      </c>
      <c r="J179" s="96" t="str">
        <f ca="1">IF(tbLancamentos[Tempo indisponível]="","",IF(tbLancamentos[Tempo indisponível]&lt;=tbLancamentos[Meta tempo reparo],0,tbLancamentos[Tempo indisponível]-tbLancamentos[Meta tempo reparo]))</f>
        <v/>
      </c>
      <c r="K17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79" s="97"/>
      <c r="M179" s="98" t="str">
        <f>IF(tbLancamentos[[#This Row],[Equipamento]]="","",IFERROR(INDEX(CadEqu!$C$7:$F$506,MATCH(tbLancamentos[[#This Row],[Equipamento]],CadEqu!$F$7:$F$506,0),1),""))</f>
        <v/>
      </c>
    </row>
    <row r="180" spans="2:13" x14ac:dyDescent="0.25">
      <c r="B180" s="2">
        <f>COUNTA($B$6:B179)</f>
        <v>174</v>
      </c>
      <c r="C180" s="94"/>
      <c r="D180" s="16" t="str">
        <f>IFERROR(IF(C180="","",INDEX(CadEqu!$E$7:$F$506,MATCH(tbLancamentos[[#This Row],[Equipamento]],CadEqu!$F$7:$F$506,0),1)),"")</f>
        <v/>
      </c>
      <c r="E180" s="94"/>
      <c r="F180" s="95"/>
      <c r="G180" s="95"/>
      <c r="H180" s="96" t="str">
        <f ca="1">IF(tbLancamentos[Momento da falha]="","",IF(tbLancamentos[Momento do retorno]="",NOW()-tbLancamentos[Momento da falha],tbLancamentos[Momento do retorno]-tbLancamentos[Momento da falha]))</f>
        <v/>
      </c>
      <c r="I180" s="96" t="str">
        <f>IF(tbLancamentos[[#This Row],[Momento da falha]]="","",IFERROR(VLOOKUP(tbLancamentos[[#This Row],[Equipamento]],CadEqu!$F$7:$H$506,3,FALSE),""))</f>
        <v/>
      </c>
      <c r="J180" s="96" t="str">
        <f ca="1">IF(tbLancamentos[Tempo indisponível]="","",IF(tbLancamentos[Tempo indisponível]&lt;=tbLancamentos[Meta tempo reparo],0,tbLancamentos[Tempo indisponível]-tbLancamentos[Meta tempo reparo]))</f>
        <v/>
      </c>
      <c r="K18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0" s="97"/>
      <c r="M180" s="98" t="str">
        <f>IF(tbLancamentos[[#This Row],[Equipamento]]="","",IFERROR(INDEX(CadEqu!$C$7:$F$506,MATCH(tbLancamentos[[#This Row],[Equipamento]],CadEqu!$F$7:$F$506,0),1),""))</f>
        <v/>
      </c>
    </row>
    <row r="181" spans="2:13" x14ac:dyDescent="0.25">
      <c r="B181" s="2">
        <f>COUNTA($B$6:B180)</f>
        <v>175</v>
      </c>
      <c r="C181" s="94"/>
      <c r="D181" s="16" t="str">
        <f>IFERROR(IF(C181="","",INDEX(CadEqu!$E$7:$F$506,MATCH(tbLancamentos[[#This Row],[Equipamento]],CadEqu!$F$7:$F$506,0),1)),"")</f>
        <v/>
      </c>
      <c r="E181" s="94"/>
      <c r="F181" s="95"/>
      <c r="G181" s="95"/>
      <c r="H181" s="96" t="str">
        <f ca="1">IF(tbLancamentos[Momento da falha]="","",IF(tbLancamentos[Momento do retorno]="",NOW()-tbLancamentos[Momento da falha],tbLancamentos[Momento do retorno]-tbLancamentos[Momento da falha]))</f>
        <v/>
      </c>
      <c r="I181" s="96" t="str">
        <f>IF(tbLancamentos[[#This Row],[Momento da falha]]="","",IFERROR(VLOOKUP(tbLancamentos[[#This Row],[Equipamento]],CadEqu!$F$7:$H$506,3,FALSE),""))</f>
        <v/>
      </c>
      <c r="J181" s="96" t="str">
        <f ca="1">IF(tbLancamentos[Tempo indisponível]="","",IF(tbLancamentos[Tempo indisponível]&lt;=tbLancamentos[Meta tempo reparo],0,tbLancamentos[Tempo indisponível]-tbLancamentos[Meta tempo reparo]))</f>
        <v/>
      </c>
      <c r="K18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1" s="97"/>
      <c r="M181" s="98" t="str">
        <f>IF(tbLancamentos[[#This Row],[Equipamento]]="","",IFERROR(INDEX(CadEqu!$C$7:$F$506,MATCH(tbLancamentos[[#This Row],[Equipamento]],CadEqu!$F$7:$F$506,0),1),""))</f>
        <v/>
      </c>
    </row>
    <row r="182" spans="2:13" x14ac:dyDescent="0.25">
      <c r="B182" s="2">
        <f>COUNTA($B$6:B181)</f>
        <v>176</v>
      </c>
      <c r="C182" s="94"/>
      <c r="D182" s="16" t="str">
        <f>IFERROR(IF(C182="","",INDEX(CadEqu!$E$7:$F$506,MATCH(tbLancamentos[[#This Row],[Equipamento]],CadEqu!$F$7:$F$506,0),1)),"")</f>
        <v/>
      </c>
      <c r="E182" s="94"/>
      <c r="F182" s="95"/>
      <c r="G182" s="95"/>
      <c r="H182" s="96" t="str">
        <f ca="1">IF(tbLancamentos[Momento da falha]="","",IF(tbLancamentos[Momento do retorno]="",NOW()-tbLancamentos[Momento da falha],tbLancamentos[Momento do retorno]-tbLancamentos[Momento da falha]))</f>
        <v/>
      </c>
      <c r="I182" s="96" t="str">
        <f>IF(tbLancamentos[[#This Row],[Momento da falha]]="","",IFERROR(VLOOKUP(tbLancamentos[[#This Row],[Equipamento]],CadEqu!$F$7:$H$506,3,FALSE),""))</f>
        <v/>
      </c>
      <c r="J182" s="96" t="str">
        <f ca="1">IF(tbLancamentos[Tempo indisponível]="","",IF(tbLancamentos[Tempo indisponível]&lt;=tbLancamentos[Meta tempo reparo],0,tbLancamentos[Tempo indisponível]-tbLancamentos[Meta tempo reparo]))</f>
        <v/>
      </c>
      <c r="K18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2" s="97"/>
      <c r="M182" s="98" t="str">
        <f>IF(tbLancamentos[[#This Row],[Equipamento]]="","",IFERROR(INDEX(CadEqu!$C$7:$F$506,MATCH(tbLancamentos[[#This Row],[Equipamento]],CadEqu!$F$7:$F$506,0),1),""))</f>
        <v/>
      </c>
    </row>
    <row r="183" spans="2:13" x14ac:dyDescent="0.25">
      <c r="B183" s="2">
        <f>COUNTA($B$6:B182)</f>
        <v>177</v>
      </c>
      <c r="C183" s="94"/>
      <c r="D183" s="16" t="str">
        <f>IFERROR(IF(C183="","",INDEX(CadEqu!$E$7:$F$506,MATCH(tbLancamentos[[#This Row],[Equipamento]],CadEqu!$F$7:$F$506,0),1)),"")</f>
        <v/>
      </c>
      <c r="E183" s="94"/>
      <c r="F183" s="95"/>
      <c r="G183" s="95"/>
      <c r="H183" s="96" t="str">
        <f ca="1">IF(tbLancamentos[Momento da falha]="","",IF(tbLancamentos[Momento do retorno]="",NOW()-tbLancamentos[Momento da falha],tbLancamentos[Momento do retorno]-tbLancamentos[Momento da falha]))</f>
        <v/>
      </c>
      <c r="I183" s="96" t="str">
        <f>IF(tbLancamentos[[#This Row],[Momento da falha]]="","",IFERROR(VLOOKUP(tbLancamentos[[#This Row],[Equipamento]],CadEqu!$F$7:$H$506,3,FALSE),""))</f>
        <v/>
      </c>
      <c r="J183" s="96" t="str">
        <f ca="1">IF(tbLancamentos[Tempo indisponível]="","",IF(tbLancamentos[Tempo indisponível]&lt;=tbLancamentos[Meta tempo reparo],0,tbLancamentos[Tempo indisponível]-tbLancamentos[Meta tempo reparo]))</f>
        <v/>
      </c>
      <c r="K18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3" s="97"/>
      <c r="M183" s="98" t="str">
        <f>IF(tbLancamentos[[#This Row],[Equipamento]]="","",IFERROR(INDEX(CadEqu!$C$7:$F$506,MATCH(tbLancamentos[[#This Row],[Equipamento]],CadEqu!$F$7:$F$506,0),1),""))</f>
        <v/>
      </c>
    </row>
    <row r="184" spans="2:13" x14ac:dyDescent="0.25">
      <c r="B184" s="2">
        <f>COUNTA($B$6:B183)</f>
        <v>178</v>
      </c>
      <c r="C184" s="94"/>
      <c r="D184" s="16" t="str">
        <f>IFERROR(IF(C184="","",INDEX(CadEqu!$E$7:$F$506,MATCH(tbLancamentos[[#This Row],[Equipamento]],CadEqu!$F$7:$F$506,0),1)),"")</f>
        <v/>
      </c>
      <c r="E184" s="94"/>
      <c r="F184" s="95"/>
      <c r="G184" s="95"/>
      <c r="H184" s="96" t="str">
        <f ca="1">IF(tbLancamentos[Momento da falha]="","",IF(tbLancamentos[Momento do retorno]="",NOW()-tbLancamentos[Momento da falha],tbLancamentos[Momento do retorno]-tbLancamentos[Momento da falha]))</f>
        <v/>
      </c>
      <c r="I184" s="96" t="str">
        <f>IF(tbLancamentos[[#This Row],[Momento da falha]]="","",IFERROR(VLOOKUP(tbLancamentos[[#This Row],[Equipamento]],CadEqu!$F$7:$H$506,3,FALSE),""))</f>
        <v/>
      </c>
      <c r="J184" s="96" t="str">
        <f ca="1">IF(tbLancamentos[Tempo indisponível]="","",IF(tbLancamentos[Tempo indisponível]&lt;=tbLancamentos[Meta tempo reparo],0,tbLancamentos[Tempo indisponível]-tbLancamentos[Meta tempo reparo]))</f>
        <v/>
      </c>
      <c r="K18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4" s="97"/>
      <c r="M184" s="98" t="str">
        <f>IF(tbLancamentos[[#This Row],[Equipamento]]="","",IFERROR(INDEX(CadEqu!$C$7:$F$506,MATCH(tbLancamentos[[#This Row],[Equipamento]],CadEqu!$F$7:$F$506,0),1),""))</f>
        <v/>
      </c>
    </row>
    <row r="185" spans="2:13" x14ac:dyDescent="0.25">
      <c r="B185" s="2">
        <f>COUNTA($B$6:B184)</f>
        <v>179</v>
      </c>
      <c r="C185" s="94"/>
      <c r="D185" s="16" t="str">
        <f>IFERROR(IF(C185="","",INDEX(CadEqu!$E$7:$F$506,MATCH(tbLancamentos[[#This Row],[Equipamento]],CadEqu!$F$7:$F$506,0),1)),"")</f>
        <v/>
      </c>
      <c r="E185" s="94"/>
      <c r="F185" s="95"/>
      <c r="G185" s="95"/>
      <c r="H185" s="96" t="str">
        <f ca="1">IF(tbLancamentos[Momento da falha]="","",IF(tbLancamentos[Momento do retorno]="",NOW()-tbLancamentos[Momento da falha],tbLancamentos[Momento do retorno]-tbLancamentos[Momento da falha]))</f>
        <v/>
      </c>
      <c r="I185" s="96" t="str">
        <f>IF(tbLancamentos[[#This Row],[Momento da falha]]="","",IFERROR(VLOOKUP(tbLancamentos[[#This Row],[Equipamento]],CadEqu!$F$7:$H$506,3,FALSE),""))</f>
        <v/>
      </c>
      <c r="J185" s="96" t="str">
        <f ca="1">IF(tbLancamentos[Tempo indisponível]="","",IF(tbLancamentos[Tempo indisponível]&lt;=tbLancamentos[Meta tempo reparo],0,tbLancamentos[Tempo indisponível]-tbLancamentos[Meta tempo reparo]))</f>
        <v/>
      </c>
      <c r="K18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5" s="97"/>
      <c r="M185" s="98" t="str">
        <f>IF(tbLancamentos[[#This Row],[Equipamento]]="","",IFERROR(INDEX(CadEqu!$C$7:$F$506,MATCH(tbLancamentos[[#This Row],[Equipamento]],CadEqu!$F$7:$F$506,0),1),""))</f>
        <v/>
      </c>
    </row>
    <row r="186" spans="2:13" x14ac:dyDescent="0.25">
      <c r="B186" s="2">
        <f>COUNTA($B$6:B185)</f>
        <v>180</v>
      </c>
      <c r="C186" s="94"/>
      <c r="D186" s="16" t="str">
        <f>IFERROR(IF(C186="","",INDEX(CadEqu!$E$7:$F$506,MATCH(tbLancamentos[[#This Row],[Equipamento]],CadEqu!$F$7:$F$506,0),1)),"")</f>
        <v/>
      </c>
      <c r="E186" s="94"/>
      <c r="F186" s="95"/>
      <c r="G186" s="95"/>
      <c r="H186" s="96" t="str">
        <f ca="1">IF(tbLancamentos[Momento da falha]="","",IF(tbLancamentos[Momento do retorno]="",NOW()-tbLancamentos[Momento da falha],tbLancamentos[Momento do retorno]-tbLancamentos[Momento da falha]))</f>
        <v/>
      </c>
      <c r="I186" s="96" t="str">
        <f>IF(tbLancamentos[[#This Row],[Momento da falha]]="","",IFERROR(VLOOKUP(tbLancamentos[[#This Row],[Equipamento]],CadEqu!$F$7:$H$506,3,FALSE),""))</f>
        <v/>
      </c>
      <c r="J186" s="96" t="str">
        <f ca="1">IF(tbLancamentos[Tempo indisponível]="","",IF(tbLancamentos[Tempo indisponível]&lt;=tbLancamentos[Meta tempo reparo],0,tbLancamentos[Tempo indisponível]-tbLancamentos[Meta tempo reparo]))</f>
        <v/>
      </c>
      <c r="K18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6" s="97"/>
      <c r="M186" s="98" t="str">
        <f>IF(tbLancamentos[[#This Row],[Equipamento]]="","",IFERROR(INDEX(CadEqu!$C$7:$F$506,MATCH(tbLancamentos[[#This Row],[Equipamento]],CadEqu!$F$7:$F$506,0),1),""))</f>
        <v/>
      </c>
    </row>
    <row r="187" spans="2:13" x14ac:dyDescent="0.25">
      <c r="B187" s="2">
        <f>COUNTA($B$6:B186)</f>
        <v>181</v>
      </c>
      <c r="C187" s="94"/>
      <c r="D187" s="16" t="str">
        <f>IFERROR(IF(C187="","",INDEX(CadEqu!$E$7:$F$506,MATCH(tbLancamentos[[#This Row],[Equipamento]],CadEqu!$F$7:$F$506,0),1)),"")</f>
        <v/>
      </c>
      <c r="E187" s="94"/>
      <c r="F187" s="95"/>
      <c r="G187" s="95"/>
      <c r="H187" s="96" t="str">
        <f ca="1">IF(tbLancamentos[Momento da falha]="","",IF(tbLancamentos[Momento do retorno]="",NOW()-tbLancamentos[Momento da falha],tbLancamentos[Momento do retorno]-tbLancamentos[Momento da falha]))</f>
        <v/>
      </c>
      <c r="I187" s="96" t="str">
        <f>IF(tbLancamentos[[#This Row],[Momento da falha]]="","",IFERROR(VLOOKUP(tbLancamentos[[#This Row],[Equipamento]],CadEqu!$F$7:$H$506,3,FALSE),""))</f>
        <v/>
      </c>
      <c r="J187" s="96" t="str">
        <f ca="1">IF(tbLancamentos[Tempo indisponível]="","",IF(tbLancamentos[Tempo indisponível]&lt;=tbLancamentos[Meta tempo reparo],0,tbLancamentos[Tempo indisponível]-tbLancamentos[Meta tempo reparo]))</f>
        <v/>
      </c>
      <c r="K18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7" s="97"/>
      <c r="M187" s="98" t="str">
        <f>IF(tbLancamentos[[#This Row],[Equipamento]]="","",IFERROR(INDEX(CadEqu!$C$7:$F$506,MATCH(tbLancamentos[[#This Row],[Equipamento]],CadEqu!$F$7:$F$506,0),1),""))</f>
        <v/>
      </c>
    </row>
    <row r="188" spans="2:13" x14ac:dyDescent="0.25">
      <c r="B188" s="2">
        <f>COUNTA($B$6:B187)</f>
        <v>182</v>
      </c>
      <c r="C188" s="94"/>
      <c r="D188" s="16" t="str">
        <f>IFERROR(IF(C188="","",INDEX(CadEqu!$E$7:$F$506,MATCH(tbLancamentos[[#This Row],[Equipamento]],CadEqu!$F$7:$F$506,0),1)),"")</f>
        <v/>
      </c>
      <c r="E188" s="94"/>
      <c r="F188" s="95"/>
      <c r="G188" s="95"/>
      <c r="H188" s="96" t="str">
        <f ca="1">IF(tbLancamentos[Momento da falha]="","",IF(tbLancamentos[Momento do retorno]="",NOW()-tbLancamentos[Momento da falha],tbLancamentos[Momento do retorno]-tbLancamentos[Momento da falha]))</f>
        <v/>
      </c>
      <c r="I188" s="96" t="str">
        <f>IF(tbLancamentos[[#This Row],[Momento da falha]]="","",IFERROR(VLOOKUP(tbLancamentos[[#This Row],[Equipamento]],CadEqu!$F$7:$H$506,3,FALSE),""))</f>
        <v/>
      </c>
      <c r="J188" s="96" t="str">
        <f ca="1">IF(tbLancamentos[Tempo indisponível]="","",IF(tbLancamentos[Tempo indisponível]&lt;=tbLancamentos[Meta tempo reparo],0,tbLancamentos[Tempo indisponível]-tbLancamentos[Meta tempo reparo]))</f>
        <v/>
      </c>
      <c r="K18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8" s="97"/>
      <c r="M188" s="98" t="str">
        <f>IF(tbLancamentos[[#This Row],[Equipamento]]="","",IFERROR(INDEX(CadEqu!$C$7:$F$506,MATCH(tbLancamentos[[#This Row],[Equipamento]],CadEqu!$F$7:$F$506,0),1),""))</f>
        <v/>
      </c>
    </row>
    <row r="189" spans="2:13" x14ac:dyDescent="0.25">
      <c r="B189" s="2">
        <f>COUNTA($B$6:B188)</f>
        <v>183</v>
      </c>
      <c r="C189" s="94"/>
      <c r="D189" s="16" t="str">
        <f>IFERROR(IF(C189="","",INDEX(CadEqu!$E$7:$F$506,MATCH(tbLancamentos[[#This Row],[Equipamento]],CadEqu!$F$7:$F$506,0),1)),"")</f>
        <v/>
      </c>
      <c r="E189" s="94"/>
      <c r="F189" s="95"/>
      <c r="G189" s="95"/>
      <c r="H189" s="96" t="str">
        <f ca="1">IF(tbLancamentos[Momento da falha]="","",IF(tbLancamentos[Momento do retorno]="",NOW()-tbLancamentos[Momento da falha],tbLancamentos[Momento do retorno]-tbLancamentos[Momento da falha]))</f>
        <v/>
      </c>
      <c r="I189" s="96" t="str">
        <f>IF(tbLancamentos[[#This Row],[Momento da falha]]="","",IFERROR(VLOOKUP(tbLancamentos[[#This Row],[Equipamento]],CadEqu!$F$7:$H$506,3,FALSE),""))</f>
        <v/>
      </c>
      <c r="J189" s="96" t="str">
        <f ca="1">IF(tbLancamentos[Tempo indisponível]="","",IF(tbLancamentos[Tempo indisponível]&lt;=tbLancamentos[Meta tempo reparo],0,tbLancamentos[Tempo indisponível]-tbLancamentos[Meta tempo reparo]))</f>
        <v/>
      </c>
      <c r="K18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89" s="97"/>
      <c r="M189" s="98" t="str">
        <f>IF(tbLancamentos[[#This Row],[Equipamento]]="","",IFERROR(INDEX(CadEqu!$C$7:$F$506,MATCH(tbLancamentos[[#This Row],[Equipamento]],CadEqu!$F$7:$F$506,0),1),""))</f>
        <v/>
      </c>
    </row>
    <row r="190" spans="2:13" x14ac:dyDescent="0.25">
      <c r="B190" s="2">
        <f>COUNTA($B$6:B189)</f>
        <v>184</v>
      </c>
      <c r="C190" s="94"/>
      <c r="D190" s="16" t="str">
        <f>IFERROR(IF(C190="","",INDEX(CadEqu!$E$7:$F$506,MATCH(tbLancamentos[[#This Row],[Equipamento]],CadEqu!$F$7:$F$506,0),1)),"")</f>
        <v/>
      </c>
      <c r="E190" s="94"/>
      <c r="F190" s="95"/>
      <c r="G190" s="95"/>
      <c r="H190" s="96" t="str">
        <f ca="1">IF(tbLancamentos[Momento da falha]="","",IF(tbLancamentos[Momento do retorno]="",NOW()-tbLancamentos[Momento da falha],tbLancamentos[Momento do retorno]-tbLancamentos[Momento da falha]))</f>
        <v/>
      </c>
      <c r="I190" s="96" t="str">
        <f>IF(tbLancamentos[[#This Row],[Momento da falha]]="","",IFERROR(VLOOKUP(tbLancamentos[[#This Row],[Equipamento]],CadEqu!$F$7:$H$506,3,FALSE),""))</f>
        <v/>
      </c>
      <c r="J190" s="96" t="str">
        <f ca="1">IF(tbLancamentos[Tempo indisponível]="","",IF(tbLancamentos[Tempo indisponível]&lt;=tbLancamentos[Meta tempo reparo],0,tbLancamentos[Tempo indisponível]-tbLancamentos[Meta tempo reparo]))</f>
        <v/>
      </c>
      <c r="K19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0" s="97"/>
      <c r="M190" s="98" t="str">
        <f>IF(tbLancamentos[[#This Row],[Equipamento]]="","",IFERROR(INDEX(CadEqu!$C$7:$F$506,MATCH(tbLancamentos[[#This Row],[Equipamento]],CadEqu!$F$7:$F$506,0),1),""))</f>
        <v/>
      </c>
    </row>
    <row r="191" spans="2:13" x14ac:dyDescent="0.25">
      <c r="B191" s="2">
        <f>COUNTA($B$6:B190)</f>
        <v>185</v>
      </c>
      <c r="C191" s="94"/>
      <c r="D191" s="16" t="str">
        <f>IFERROR(IF(C191="","",INDEX(CadEqu!$E$7:$F$506,MATCH(tbLancamentos[[#This Row],[Equipamento]],CadEqu!$F$7:$F$506,0),1)),"")</f>
        <v/>
      </c>
      <c r="E191" s="94"/>
      <c r="F191" s="95"/>
      <c r="G191" s="95"/>
      <c r="H191" s="96" t="str">
        <f ca="1">IF(tbLancamentos[Momento da falha]="","",IF(tbLancamentos[Momento do retorno]="",NOW()-tbLancamentos[Momento da falha],tbLancamentos[Momento do retorno]-tbLancamentos[Momento da falha]))</f>
        <v/>
      </c>
      <c r="I191" s="96" t="str">
        <f>IF(tbLancamentos[[#This Row],[Momento da falha]]="","",IFERROR(VLOOKUP(tbLancamentos[[#This Row],[Equipamento]],CadEqu!$F$7:$H$506,3,FALSE),""))</f>
        <v/>
      </c>
      <c r="J191" s="96" t="str">
        <f ca="1">IF(tbLancamentos[Tempo indisponível]="","",IF(tbLancamentos[Tempo indisponível]&lt;=tbLancamentos[Meta tempo reparo],0,tbLancamentos[Tempo indisponível]-tbLancamentos[Meta tempo reparo]))</f>
        <v/>
      </c>
      <c r="K19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1" s="97"/>
      <c r="M191" s="98" t="str">
        <f>IF(tbLancamentos[[#This Row],[Equipamento]]="","",IFERROR(INDEX(CadEqu!$C$7:$F$506,MATCH(tbLancamentos[[#This Row],[Equipamento]],CadEqu!$F$7:$F$506,0),1),""))</f>
        <v/>
      </c>
    </row>
    <row r="192" spans="2:13" x14ac:dyDescent="0.25">
      <c r="B192" s="2">
        <f>COUNTA($B$6:B191)</f>
        <v>186</v>
      </c>
      <c r="C192" s="94"/>
      <c r="D192" s="16" t="str">
        <f>IFERROR(IF(C192="","",INDEX(CadEqu!$E$7:$F$506,MATCH(tbLancamentos[[#This Row],[Equipamento]],CadEqu!$F$7:$F$506,0),1)),"")</f>
        <v/>
      </c>
      <c r="E192" s="94"/>
      <c r="F192" s="95"/>
      <c r="G192" s="95"/>
      <c r="H192" s="96" t="str">
        <f ca="1">IF(tbLancamentos[Momento da falha]="","",IF(tbLancamentos[Momento do retorno]="",NOW()-tbLancamentos[Momento da falha],tbLancamentos[Momento do retorno]-tbLancamentos[Momento da falha]))</f>
        <v/>
      </c>
      <c r="I192" s="96" t="str">
        <f>IF(tbLancamentos[[#This Row],[Momento da falha]]="","",IFERROR(VLOOKUP(tbLancamentos[[#This Row],[Equipamento]],CadEqu!$F$7:$H$506,3,FALSE),""))</f>
        <v/>
      </c>
      <c r="J192" s="96" t="str">
        <f ca="1">IF(tbLancamentos[Tempo indisponível]="","",IF(tbLancamentos[Tempo indisponível]&lt;=tbLancamentos[Meta tempo reparo],0,tbLancamentos[Tempo indisponível]-tbLancamentos[Meta tempo reparo]))</f>
        <v/>
      </c>
      <c r="K19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2" s="97"/>
      <c r="M192" s="98" t="str">
        <f>IF(tbLancamentos[[#This Row],[Equipamento]]="","",IFERROR(INDEX(CadEqu!$C$7:$F$506,MATCH(tbLancamentos[[#This Row],[Equipamento]],CadEqu!$F$7:$F$506,0),1),""))</f>
        <v/>
      </c>
    </row>
    <row r="193" spans="2:13" x14ac:dyDescent="0.25">
      <c r="B193" s="2">
        <f>COUNTA($B$6:B192)</f>
        <v>187</v>
      </c>
      <c r="C193" s="94"/>
      <c r="D193" s="16" t="str">
        <f>IFERROR(IF(C193="","",INDEX(CadEqu!$E$7:$F$506,MATCH(tbLancamentos[[#This Row],[Equipamento]],CadEqu!$F$7:$F$506,0),1)),"")</f>
        <v/>
      </c>
      <c r="E193" s="94"/>
      <c r="F193" s="95"/>
      <c r="G193" s="95"/>
      <c r="H193" s="96" t="str">
        <f ca="1">IF(tbLancamentos[Momento da falha]="","",IF(tbLancamentos[Momento do retorno]="",NOW()-tbLancamentos[Momento da falha],tbLancamentos[Momento do retorno]-tbLancamentos[Momento da falha]))</f>
        <v/>
      </c>
      <c r="I193" s="96" t="str">
        <f>IF(tbLancamentos[[#This Row],[Momento da falha]]="","",IFERROR(VLOOKUP(tbLancamentos[[#This Row],[Equipamento]],CadEqu!$F$7:$H$506,3,FALSE),""))</f>
        <v/>
      </c>
      <c r="J193" s="96" t="str">
        <f ca="1">IF(tbLancamentos[Tempo indisponível]="","",IF(tbLancamentos[Tempo indisponível]&lt;=tbLancamentos[Meta tempo reparo],0,tbLancamentos[Tempo indisponível]-tbLancamentos[Meta tempo reparo]))</f>
        <v/>
      </c>
      <c r="K19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3" s="97"/>
      <c r="M193" s="98" t="str">
        <f>IF(tbLancamentos[[#This Row],[Equipamento]]="","",IFERROR(INDEX(CadEqu!$C$7:$F$506,MATCH(tbLancamentos[[#This Row],[Equipamento]],CadEqu!$F$7:$F$506,0),1),""))</f>
        <v/>
      </c>
    </row>
    <row r="194" spans="2:13" x14ac:dyDescent="0.25">
      <c r="B194" s="2">
        <f>COUNTA($B$6:B193)</f>
        <v>188</v>
      </c>
      <c r="C194" s="94"/>
      <c r="D194" s="16" t="str">
        <f>IFERROR(IF(C194="","",INDEX(CadEqu!$E$7:$F$506,MATCH(tbLancamentos[[#This Row],[Equipamento]],CadEqu!$F$7:$F$506,0),1)),"")</f>
        <v/>
      </c>
      <c r="E194" s="94"/>
      <c r="F194" s="95"/>
      <c r="G194" s="95"/>
      <c r="H194" s="96" t="str">
        <f ca="1">IF(tbLancamentos[Momento da falha]="","",IF(tbLancamentos[Momento do retorno]="",NOW()-tbLancamentos[Momento da falha],tbLancamentos[Momento do retorno]-tbLancamentos[Momento da falha]))</f>
        <v/>
      </c>
      <c r="I194" s="96" t="str">
        <f>IF(tbLancamentos[[#This Row],[Momento da falha]]="","",IFERROR(VLOOKUP(tbLancamentos[[#This Row],[Equipamento]],CadEqu!$F$7:$H$506,3,FALSE),""))</f>
        <v/>
      </c>
      <c r="J194" s="96" t="str">
        <f ca="1">IF(tbLancamentos[Tempo indisponível]="","",IF(tbLancamentos[Tempo indisponível]&lt;=tbLancamentos[Meta tempo reparo],0,tbLancamentos[Tempo indisponível]-tbLancamentos[Meta tempo reparo]))</f>
        <v/>
      </c>
      <c r="K19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4" s="97"/>
      <c r="M194" s="98" t="str">
        <f>IF(tbLancamentos[[#This Row],[Equipamento]]="","",IFERROR(INDEX(CadEqu!$C$7:$F$506,MATCH(tbLancamentos[[#This Row],[Equipamento]],CadEqu!$F$7:$F$506,0),1),""))</f>
        <v/>
      </c>
    </row>
    <row r="195" spans="2:13" x14ac:dyDescent="0.25">
      <c r="B195" s="2">
        <f>COUNTA($B$6:B194)</f>
        <v>189</v>
      </c>
      <c r="C195" s="94"/>
      <c r="D195" s="16" t="str">
        <f>IFERROR(IF(C195="","",INDEX(CadEqu!$E$7:$F$506,MATCH(tbLancamentos[[#This Row],[Equipamento]],CadEqu!$F$7:$F$506,0),1)),"")</f>
        <v/>
      </c>
      <c r="E195" s="94"/>
      <c r="F195" s="95"/>
      <c r="G195" s="95"/>
      <c r="H195" s="96" t="str">
        <f ca="1">IF(tbLancamentos[Momento da falha]="","",IF(tbLancamentos[Momento do retorno]="",NOW()-tbLancamentos[Momento da falha],tbLancamentos[Momento do retorno]-tbLancamentos[Momento da falha]))</f>
        <v/>
      </c>
      <c r="I195" s="96" t="str">
        <f>IF(tbLancamentos[[#This Row],[Momento da falha]]="","",IFERROR(VLOOKUP(tbLancamentos[[#This Row],[Equipamento]],CadEqu!$F$7:$H$506,3,FALSE),""))</f>
        <v/>
      </c>
      <c r="J195" s="96" t="str">
        <f ca="1">IF(tbLancamentos[Tempo indisponível]="","",IF(tbLancamentos[Tempo indisponível]&lt;=tbLancamentos[Meta tempo reparo],0,tbLancamentos[Tempo indisponível]-tbLancamentos[Meta tempo reparo]))</f>
        <v/>
      </c>
      <c r="K19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5" s="97"/>
      <c r="M195" s="98" t="str">
        <f>IF(tbLancamentos[[#This Row],[Equipamento]]="","",IFERROR(INDEX(CadEqu!$C$7:$F$506,MATCH(tbLancamentos[[#This Row],[Equipamento]],CadEqu!$F$7:$F$506,0),1),""))</f>
        <v/>
      </c>
    </row>
    <row r="196" spans="2:13" x14ac:dyDescent="0.25">
      <c r="B196" s="2">
        <f>COUNTA($B$6:B195)</f>
        <v>190</v>
      </c>
      <c r="C196" s="94"/>
      <c r="D196" s="16" t="str">
        <f>IFERROR(IF(C196="","",INDEX(CadEqu!$E$7:$F$506,MATCH(tbLancamentos[[#This Row],[Equipamento]],CadEqu!$F$7:$F$506,0),1)),"")</f>
        <v/>
      </c>
      <c r="E196" s="94"/>
      <c r="F196" s="95"/>
      <c r="G196" s="95"/>
      <c r="H196" s="96" t="str">
        <f ca="1">IF(tbLancamentos[Momento da falha]="","",IF(tbLancamentos[Momento do retorno]="",NOW()-tbLancamentos[Momento da falha],tbLancamentos[Momento do retorno]-tbLancamentos[Momento da falha]))</f>
        <v/>
      </c>
      <c r="I196" s="96" t="str">
        <f>IF(tbLancamentos[[#This Row],[Momento da falha]]="","",IFERROR(VLOOKUP(tbLancamentos[[#This Row],[Equipamento]],CadEqu!$F$7:$H$506,3,FALSE),""))</f>
        <v/>
      </c>
      <c r="J196" s="96" t="str">
        <f ca="1">IF(tbLancamentos[Tempo indisponível]="","",IF(tbLancamentos[Tempo indisponível]&lt;=tbLancamentos[Meta tempo reparo],0,tbLancamentos[Tempo indisponível]-tbLancamentos[Meta tempo reparo]))</f>
        <v/>
      </c>
      <c r="K19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6" s="97"/>
      <c r="M196" s="98" t="str">
        <f>IF(tbLancamentos[[#This Row],[Equipamento]]="","",IFERROR(INDEX(CadEqu!$C$7:$F$506,MATCH(tbLancamentos[[#This Row],[Equipamento]],CadEqu!$F$7:$F$506,0),1),""))</f>
        <v/>
      </c>
    </row>
    <row r="197" spans="2:13" x14ac:dyDescent="0.25">
      <c r="B197" s="2">
        <f>COUNTA($B$6:B196)</f>
        <v>191</v>
      </c>
      <c r="C197" s="94"/>
      <c r="D197" s="16" t="str">
        <f>IFERROR(IF(C197="","",INDEX(CadEqu!$E$7:$F$506,MATCH(tbLancamentos[[#This Row],[Equipamento]],CadEqu!$F$7:$F$506,0),1)),"")</f>
        <v/>
      </c>
      <c r="E197" s="94"/>
      <c r="F197" s="95"/>
      <c r="G197" s="95"/>
      <c r="H197" s="96" t="str">
        <f ca="1">IF(tbLancamentos[Momento da falha]="","",IF(tbLancamentos[Momento do retorno]="",NOW()-tbLancamentos[Momento da falha],tbLancamentos[Momento do retorno]-tbLancamentos[Momento da falha]))</f>
        <v/>
      </c>
      <c r="I197" s="96" t="str">
        <f>IF(tbLancamentos[[#This Row],[Momento da falha]]="","",IFERROR(VLOOKUP(tbLancamentos[[#This Row],[Equipamento]],CadEqu!$F$7:$H$506,3,FALSE),""))</f>
        <v/>
      </c>
      <c r="J197" s="96" t="str">
        <f ca="1">IF(tbLancamentos[Tempo indisponível]="","",IF(tbLancamentos[Tempo indisponível]&lt;=tbLancamentos[Meta tempo reparo],0,tbLancamentos[Tempo indisponível]-tbLancamentos[Meta tempo reparo]))</f>
        <v/>
      </c>
      <c r="K19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7" s="97"/>
      <c r="M197" s="98" t="str">
        <f>IF(tbLancamentos[[#This Row],[Equipamento]]="","",IFERROR(INDEX(CadEqu!$C$7:$F$506,MATCH(tbLancamentos[[#This Row],[Equipamento]],CadEqu!$F$7:$F$506,0),1),""))</f>
        <v/>
      </c>
    </row>
    <row r="198" spans="2:13" x14ac:dyDescent="0.25">
      <c r="B198" s="2">
        <f>COUNTA($B$6:B197)</f>
        <v>192</v>
      </c>
      <c r="C198" s="94"/>
      <c r="D198" s="16" t="str">
        <f>IFERROR(IF(C198="","",INDEX(CadEqu!$E$7:$F$506,MATCH(tbLancamentos[[#This Row],[Equipamento]],CadEqu!$F$7:$F$506,0),1)),"")</f>
        <v/>
      </c>
      <c r="E198" s="94"/>
      <c r="F198" s="95"/>
      <c r="G198" s="95"/>
      <c r="H198" s="96" t="str">
        <f ca="1">IF(tbLancamentos[Momento da falha]="","",IF(tbLancamentos[Momento do retorno]="",NOW()-tbLancamentos[Momento da falha],tbLancamentos[Momento do retorno]-tbLancamentos[Momento da falha]))</f>
        <v/>
      </c>
      <c r="I198" s="96" t="str">
        <f>IF(tbLancamentos[[#This Row],[Momento da falha]]="","",IFERROR(VLOOKUP(tbLancamentos[[#This Row],[Equipamento]],CadEqu!$F$7:$H$506,3,FALSE),""))</f>
        <v/>
      </c>
      <c r="J198" s="96" t="str">
        <f ca="1">IF(tbLancamentos[Tempo indisponível]="","",IF(tbLancamentos[Tempo indisponível]&lt;=tbLancamentos[Meta tempo reparo],0,tbLancamentos[Tempo indisponível]-tbLancamentos[Meta tempo reparo]))</f>
        <v/>
      </c>
      <c r="K19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8" s="97"/>
      <c r="M198" s="98" t="str">
        <f>IF(tbLancamentos[[#This Row],[Equipamento]]="","",IFERROR(INDEX(CadEqu!$C$7:$F$506,MATCH(tbLancamentos[[#This Row],[Equipamento]],CadEqu!$F$7:$F$506,0),1),""))</f>
        <v/>
      </c>
    </row>
    <row r="199" spans="2:13" x14ac:dyDescent="0.25">
      <c r="B199" s="2">
        <f>COUNTA($B$6:B198)</f>
        <v>193</v>
      </c>
      <c r="C199" s="94"/>
      <c r="D199" s="16" t="str">
        <f>IFERROR(IF(C199="","",INDEX(CadEqu!$E$7:$F$506,MATCH(tbLancamentos[[#This Row],[Equipamento]],CadEqu!$F$7:$F$506,0),1)),"")</f>
        <v/>
      </c>
      <c r="E199" s="94"/>
      <c r="F199" s="95"/>
      <c r="G199" s="95"/>
      <c r="H199" s="96" t="str">
        <f ca="1">IF(tbLancamentos[Momento da falha]="","",IF(tbLancamentos[Momento do retorno]="",NOW()-tbLancamentos[Momento da falha],tbLancamentos[Momento do retorno]-tbLancamentos[Momento da falha]))</f>
        <v/>
      </c>
      <c r="I199" s="96" t="str">
        <f>IF(tbLancamentos[[#This Row],[Momento da falha]]="","",IFERROR(VLOOKUP(tbLancamentos[[#This Row],[Equipamento]],CadEqu!$F$7:$H$506,3,FALSE),""))</f>
        <v/>
      </c>
      <c r="J199" s="96" t="str">
        <f ca="1">IF(tbLancamentos[Tempo indisponível]="","",IF(tbLancamentos[Tempo indisponível]&lt;=tbLancamentos[Meta tempo reparo],0,tbLancamentos[Tempo indisponível]-tbLancamentos[Meta tempo reparo]))</f>
        <v/>
      </c>
      <c r="K19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199" s="97"/>
      <c r="M199" s="98" t="str">
        <f>IF(tbLancamentos[[#This Row],[Equipamento]]="","",IFERROR(INDEX(CadEqu!$C$7:$F$506,MATCH(tbLancamentos[[#This Row],[Equipamento]],CadEqu!$F$7:$F$506,0),1),""))</f>
        <v/>
      </c>
    </row>
    <row r="200" spans="2:13" x14ac:dyDescent="0.25">
      <c r="B200" s="2">
        <f>COUNTA($B$6:B199)</f>
        <v>194</v>
      </c>
      <c r="C200" s="94"/>
      <c r="D200" s="16" t="str">
        <f>IFERROR(IF(C200="","",INDEX(CadEqu!$E$7:$F$506,MATCH(tbLancamentos[[#This Row],[Equipamento]],CadEqu!$F$7:$F$506,0),1)),"")</f>
        <v/>
      </c>
      <c r="E200" s="94"/>
      <c r="F200" s="95"/>
      <c r="G200" s="95"/>
      <c r="H200" s="96" t="str">
        <f ca="1">IF(tbLancamentos[Momento da falha]="","",IF(tbLancamentos[Momento do retorno]="",NOW()-tbLancamentos[Momento da falha],tbLancamentos[Momento do retorno]-tbLancamentos[Momento da falha]))</f>
        <v/>
      </c>
      <c r="I200" s="96" t="str">
        <f>IF(tbLancamentos[[#This Row],[Momento da falha]]="","",IFERROR(VLOOKUP(tbLancamentos[[#This Row],[Equipamento]],CadEqu!$F$7:$H$506,3,FALSE),""))</f>
        <v/>
      </c>
      <c r="J200" s="96" t="str">
        <f ca="1">IF(tbLancamentos[Tempo indisponível]="","",IF(tbLancamentos[Tempo indisponível]&lt;=tbLancamentos[Meta tempo reparo],0,tbLancamentos[Tempo indisponível]-tbLancamentos[Meta tempo reparo]))</f>
        <v/>
      </c>
      <c r="K20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0" s="97"/>
      <c r="M200" s="98" t="str">
        <f>IF(tbLancamentos[[#This Row],[Equipamento]]="","",IFERROR(INDEX(CadEqu!$C$7:$F$506,MATCH(tbLancamentos[[#This Row],[Equipamento]],CadEqu!$F$7:$F$506,0),1),""))</f>
        <v/>
      </c>
    </row>
    <row r="201" spans="2:13" x14ac:dyDescent="0.25">
      <c r="B201" s="2">
        <f>COUNTA($B$6:B200)</f>
        <v>195</v>
      </c>
      <c r="C201" s="94"/>
      <c r="D201" s="16" t="str">
        <f>IFERROR(IF(C201="","",INDEX(CadEqu!$E$7:$F$506,MATCH(tbLancamentos[[#This Row],[Equipamento]],CadEqu!$F$7:$F$506,0),1)),"")</f>
        <v/>
      </c>
      <c r="E201" s="94"/>
      <c r="F201" s="95"/>
      <c r="G201" s="95"/>
      <c r="H201" s="96" t="str">
        <f ca="1">IF(tbLancamentos[Momento da falha]="","",IF(tbLancamentos[Momento do retorno]="",NOW()-tbLancamentos[Momento da falha],tbLancamentos[Momento do retorno]-tbLancamentos[Momento da falha]))</f>
        <v/>
      </c>
      <c r="I201" s="96" t="str">
        <f>IF(tbLancamentos[[#This Row],[Momento da falha]]="","",IFERROR(VLOOKUP(tbLancamentos[[#This Row],[Equipamento]],CadEqu!$F$7:$H$506,3,FALSE),""))</f>
        <v/>
      </c>
      <c r="J201" s="96" t="str">
        <f ca="1">IF(tbLancamentos[Tempo indisponível]="","",IF(tbLancamentos[Tempo indisponível]&lt;=tbLancamentos[Meta tempo reparo],0,tbLancamentos[Tempo indisponível]-tbLancamentos[Meta tempo reparo]))</f>
        <v/>
      </c>
      <c r="K20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1" s="97"/>
      <c r="M201" s="98" t="str">
        <f>IF(tbLancamentos[[#This Row],[Equipamento]]="","",IFERROR(INDEX(CadEqu!$C$7:$F$506,MATCH(tbLancamentos[[#This Row],[Equipamento]],CadEqu!$F$7:$F$506,0),1),""))</f>
        <v/>
      </c>
    </row>
    <row r="202" spans="2:13" x14ac:dyDescent="0.25">
      <c r="B202" s="2">
        <f>COUNTA($B$6:B201)</f>
        <v>196</v>
      </c>
      <c r="C202" s="94"/>
      <c r="D202" s="16" t="str">
        <f>IFERROR(IF(C202="","",INDEX(CadEqu!$E$7:$F$506,MATCH(tbLancamentos[[#This Row],[Equipamento]],CadEqu!$F$7:$F$506,0),1)),"")</f>
        <v/>
      </c>
      <c r="E202" s="94"/>
      <c r="F202" s="95"/>
      <c r="G202" s="95"/>
      <c r="H202" s="96" t="str">
        <f ca="1">IF(tbLancamentos[Momento da falha]="","",IF(tbLancamentos[Momento do retorno]="",NOW()-tbLancamentos[Momento da falha],tbLancamentos[Momento do retorno]-tbLancamentos[Momento da falha]))</f>
        <v/>
      </c>
      <c r="I202" s="96" t="str">
        <f>IF(tbLancamentos[[#This Row],[Momento da falha]]="","",IFERROR(VLOOKUP(tbLancamentos[[#This Row],[Equipamento]],CadEqu!$F$7:$H$506,3,FALSE),""))</f>
        <v/>
      </c>
      <c r="J202" s="96" t="str">
        <f ca="1">IF(tbLancamentos[Tempo indisponível]="","",IF(tbLancamentos[Tempo indisponível]&lt;=tbLancamentos[Meta tempo reparo],0,tbLancamentos[Tempo indisponível]-tbLancamentos[Meta tempo reparo]))</f>
        <v/>
      </c>
      <c r="K20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2" s="97"/>
      <c r="M202" s="98" t="str">
        <f>IF(tbLancamentos[[#This Row],[Equipamento]]="","",IFERROR(INDEX(CadEqu!$C$7:$F$506,MATCH(tbLancamentos[[#This Row],[Equipamento]],CadEqu!$F$7:$F$506,0),1),""))</f>
        <v/>
      </c>
    </row>
    <row r="203" spans="2:13" x14ac:dyDescent="0.25">
      <c r="B203" s="2">
        <f>COUNTA($B$6:B202)</f>
        <v>197</v>
      </c>
      <c r="C203" s="94"/>
      <c r="D203" s="16" t="str">
        <f>IFERROR(IF(C203="","",INDEX(CadEqu!$E$7:$F$506,MATCH(tbLancamentos[[#This Row],[Equipamento]],CadEqu!$F$7:$F$506,0),1)),"")</f>
        <v/>
      </c>
      <c r="E203" s="94"/>
      <c r="F203" s="95"/>
      <c r="G203" s="95"/>
      <c r="H203" s="96" t="str">
        <f ca="1">IF(tbLancamentos[Momento da falha]="","",IF(tbLancamentos[Momento do retorno]="",NOW()-tbLancamentos[Momento da falha],tbLancamentos[Momento do retorno]-tbLancamentos[Momento da falha]))</f>
        <v/>
      </c>
      <c r="I203" s="96" t="str">
        <f>IF(tbLancamentos[[#This Row],[Momento da falha]]="","",IFERROR(VLOOKUP(tbLancamentos[[#This Row],[Equipamento]],CadEqu!$F$7:$H$506,3,FALSE),""))</f>
        <v/>
      </c>
      <c r="J203" s="96" t="str">
        <f ca="1">IF(tbLancamentos[Tempo indisponível]="","",IF(tbLancamentos[Tempo indisponível]&lt;=tbLancamentos[Meta tempo reparo],0,tbLancamentos[Tempo indisponível]-tbLancamentos[Meta tempo reparo]))</f>
        <v/>
      </c>
      <c r="K20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3" s="97"/>
      <c r="M203" s="98" t="str">
        <f>IF(tbLancamentos[[#This Row],[Equipamento]]="","",IFERROR(INDEX(CadEqu!$C$7:$F$506,MATCH(tbLancamentos[[#This Row],[Equipamento]],CadEqu!$F$7:$F$506,0),1),""))</f>
        <v/>
      </c>
    </row>
    <row r="204" spans="2:13" x14ac:dyDescent="0.25">
      <c r="B204" s="2">
        <f>COUNTA($B$6:B203)</f>
        <v>198</v>
      </c>
      <c r="C204" s="94"/>
      <c r="D204" s="16" t="str">
        <f>IFERROR(IF(C204="","",INDEX(CadEqu!$E$7:$F$506,MATCH(tbLancamentos[[#This Row],[Equipamento]],CadEqu!$F$7:$F$506,0),1)),"")</f>
        <v/>
      </c>
      <c r="E204" s="94"/>
      <c r="F204" s="95"/>
      <c r="G204" s="95"/>
      <c r="H204" s="96" t="str">
        <f ca="1">IF(tbLancamentos[Momento da falha]="","",IF(tbLancamentos[Momento do retorno]="",NOW()-tbLancamentos[Momento da falha],tbLancamentos[Momento do retorno]-tbLancamentos[Momento da falha]))</f>
        <v/>
      </c>
      <c r="I204" s="96" t="str">
        <f>IF(tbLancamentos[[#This Row],[Momento da falha]]="","",IFERROR(VLOOKUP(tbLancamentos[[#This Row],[Equipamento]],CadEqu!$F$7:$H$506,3,FALSE),""))</f>
        <v/>
      </c>
      <c r="J204" s="96" t="str">
        <f ca="1">IF(tbLancamentos[Tempo indisponível]="","",IF(tbLancamentos[Tempo indisponível]&lt;=tbLancamentos[Meta tempo reparo],0,tbLancamentos[Tempo indisponível]-tbLancamentos[Meta tempo reparo]))</f>
        <v/>
      </c>
      <c r="K20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4" s="97"/>
      <c r="M204" s="98" t="str">
        <f>IF(tbLancamentos[[#This Row],[Equipamento]]="","",IFERROR(INDEX(CadEqu!$C$7:$F$506,MATCH(tbLancamentos[[#This Row],[Equipamento]],CadEqu!$F$7:$F$506,0),1),""))</f>
        <v/>
      </c>
    </row>
    <row r="205" spans="2:13" x14ac:dyDescent="0.25">
      <c r="B205" s="2">
        <f>COUNTA($B$6:B204)</f>
        <v>199</v>
      </c>
      <c r="C205" s="94"/>
      <c r="D205" s="16" t="str">
        <f>IFERROR(IF(C205="","",INDEX(CadEqu!$E$7:$F$506,MATCH(tbLancamentos[[#This Row],[Equipamento]],CadEqu!$F$7:$F$506,0),1)),"")</f>
        <v/>
      </c>
      <c r="E205" s="94"/>
      <c r="F205" s="95"/>
      <c r="G205" s="95"/>
      <c r="H205" s="96" t="str">
        <f ca="1">IF(tbLancamentos[Momento da falha]="","",IF(tbLancamentos[Momento do retorno]="",NOW()-tbLancamentos[Momento da falha],tbLancamentos[Momento do retorno]-tbLancamentos[Momento da falha]))</f>
        <v/>
      </c>
      <c r="I205" s="96" t="str">
        <f>IF(tbLancamentos[[#This Row],[Momento da falha]]="","",IFERROR(VLOOKUP(tbLancamentos[[#This Row],[Equipamento]],CadEqu!$F$7:$H$506,3,FALSE),""))</f>
        <v/>
      </c>
      <c r="J205" s="96" t="str">
        <f ca="1">IF(tbLancamentos[Tempo indisponível]="","",IF(tbLancamentos[Tempo indisponível]&lt;=tbLancamentos[Meta tempo reparo],0,tbLancamentos[Tempo indisponível]-tbLancamentos[Meta tempo reparo]))</f>
        <v/>
      </c>
      <c r="K20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5" s="97"/>
      <c r="M205" s="98" t="str">
        <f>IF(tbLancamentos[[#This Row],[Equipamento]]="","",IFERROR(INDEX(CadEqu!$C$7:$F$506,MATCH(tbLancamentos[[#This Row],[Equipamento]],CadEqu!$F$7:$F$506,0),1),""))</f>
        <v/>
      </c>
    </row>
    <row r="206" spans="2:13" x14ac:dyDescent="0.25">
      <c r="B206" s="2">
        <f>COUNTA($B$6:B205)</f>
        <v>200</v>
      </c>
      <c r="C206" s="94"/>
      <c r="D206" s="16" t="str">
        <f>IFERROR(IF(C206="","",INDEX(CadEqu!$E$7:$F$506,MATCH(tbLancamentos[[#This Row],[Equipamento]],CadEqu!$F$7:$F$506,0),1)),"")</f>
        <v/>
      </c>
      <c r="E206" s="94"/>
      <c r="F206" s="95"/>
      <c r="G206" s="95"/>
      <c r="H206" s="96" t="str">
        <f ca="1">IF(tbLancamentos[Momento da falha]="","",IF(tbLancamentos[Momento do retorno]="",NOW()-tbLancamentos[Momento da falha],tbLancamentos[Momento do retorno]-tbLancamentos[Momento da falha]))</f>
        <v/>
      </c>
      <c r="I206" s="96" t="str">
        <f>IF(tbLancamentos[[#This Row],[Momento da falha]]="","",IFERROR(VLOOKUP(tbLancamentos[[#This Row],[Equipamento]],CadEqu!$F$7:$H$506,3,FALSE),""))</f>
        <v/>
      </c>
      <c r="J206" s="96" t="str">
        <f ca="1">IF(tbLancamentos[Tempo indisponível]="","",IF(tbLancamentos[Tempo indisponível]&lt;=tbLancamentos[Meta tempo reparo],0,tbLancamentos[Tempo indisponível]-tbLancamentos[Meta tempo reparo]))</f>
        <v/>
      </c>
      <c r="K20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6" s="97"/>
      <c r="M206" s="98" t="str">
        <f>IF(tbLancamentos[[#This Row],[Equipamento]]="","",IFERROR(INDEX(CadEqu!$C$7:$F$506,MATCH(tbLancamentos[[#This Row],[Equipamento]],CadEqu!$F$7:$F$506,0),1),""))</f>
        <v/>
      </c>
    </row>
    <row r="207" spans="2:13" x14ac:dyDescent="0.25">
      <c r="B207" s="2">
        <f>COUNTA($B$6:B206)</f>
        <v>201</v>
      </c>
      <c r="C207" s="94"/>
      <c r="D207" s="16" t="str">
        <f>IFERROR(IF(C207="","",INDEX(CadEqu!$E$7:$F$506,MATCH(tbLancamentos[[#This Row],[Equipamento]],CadEqu!$F$7:$F$506,0),1)),"")</f>
        <v/>
      </c>
      <c r="E207" s="94"/>
      <c r="F207" s="95"/>
      <c r="G207" s="95"/>
      <c r="H207" s="96" t="str">
        <f ca="1">IF(tbLancamentos[Momento da falha]="","",IF(tbLancamentos[Momento do retorno]="",NOW()-tbLancamentos[Momento da falha],tbLancamentos[Momento do retorno]-tbLancamentos[Momento da falha]))</f>
        <v/>
      </c>
      <c r="I207" s="96" t="str">
        <f>IF(tbLancamentos[[#This Row],[Momento da falha]]="","",IFERROR(VLOOKUP(tbLancamentos[[#This Row],[Equipamento]],CadEqu!$F$7:$H$506,3,FALSE),""))</f>
        <v/>
      </c>
      <c r="J207" s="96" t="str">
        <f ca="1">IF(tbLancamentos[Tempo indisponível]="","",IF(tbLancamentos[Tempo indisponível]&lt;=tbLancamentos[Meta tempo reparo],0,tbLancamentos[Tempo indisponível]-tbLancamentos[Meta tempo reparo]))</f>
        <v/>
      </c>
      <c r="K20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7" s="97"/>
      <c r="M207" s="98" t="str">
        <f>IF(tbLancamentos[[#This Row],[Equipamento]]="","",IFERROR(INDEX(CadEqu!$C$7:$F$506,MATCH(tbLancamentos[[#This Row],[Equipamento]],CadEqu!$F$7:$F$506,0),1),""))</f>
        <v/>
      </c>
    </row>
    <row r="208" spans="2:13" x14ac:dyDescent="0.25">
      <c r="B208" s="2">
        <f>COUNTA($B$6:B207)</f>
        <v>202</v>
      </c>
      <c r="C208" s="94"/>
      <c r="D208" s="16" t="str">
        <f>IFERROR(IF(C208="","",INDEX(CadEqu!$E$7:$F$506,MATCH(tbLancamentos[[#This Row],[Equipamento]],CadEqu!$F$7:$F$506,0),1)),"")</f>
        <v/>
      </c>
      <c r="E208" s="94"/>
      <c r="F208" s="95"/>
      <c r="G208" s="95"/>
      <c r="H208" s="96" t="str">
        <f ca="1">IF(tbLancamentos[Momento da falha]="","",IF(tbLancamentos[Momento do retorno]="",NOW()-tbLancamentos[Momento da falha],tbLancamentos[Momento do retorno]-tbLancamentos[Momento da falha]))</f>
        <v/>
      </c>
      <c r="I208" s="96" t="str">
        <f>IF(tbLancamentos[[#This Row],[Momento da falha]]="","",IFERROR(VLOOKUP(tbLancamentos[[#This Row],[Equipamento]],CadEqu!$F$7:$H$506,3,FALSE),""))</f>
        <v/>
      </c>
      <c r="J208" s="96" t="str">
        <f ca="1">IF(tbLancamentos[Tempo indisponível]="","",IF(tbLancamentos[Tempo indisponível]&lt;=tbLancamentos[Meta tempo reparo],0,tbLancamentos[Tempo indisponível]-tbLancamentos[Meta tempo reparo]))</f>
        <v/>
      </c>
      <c r="K20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8" s="97"/>
      <c r="M208" s="98" t="str">
        <f>IF(tbLancamentos[[#This Row],[Equipamento]]="","",IFERROR(INDEX(CadEqu!$C$7:$F$506,MATCH(tbLancamentos[[#This Row],[Equipamento]],CadEqu!$F$7:$F$506,0),1),""))</f>
        <v/>
      </c>
    </row>
    <row r="209" spans="2:13" x14ac:dyDescent="0.25">
      <c r="B209" s="2">
        <f>COUNTA($B$6:B208)</f>
        <v>203</v>
      </c>
      <c r="C209" s="94"/>
      <c r="D209" s="16" t="str">
        <f>IFERROR(IF(C209="","",INDEX(CadEqu!$E$7:$F$506,MATCH(tbLancamentos[[#This Row],[Equipamento]],CadEqu!$F$7:$F$506,0),1)),"")</f>
        <v/>
      </c>
      <c r="E209" s="94"/>
      <c r="F209" s="95"/>
      <c r="G209" s="95"/>
      <c r="H209" s="96" t="str">
        <f ca="1">IF(tbLancamentos[Momento da falha]="","",IF(tbLancamentos[Momento do retorno]="",NOW()-tbLancamentos[Momento da falha],tbLancamentos[Momento do retorno]-tbLancamentos[Momento da falha]))</f>
        <v/>
      </c>
      <c r="I209" s="96" t="str">
        <f>IF(tbLancamentos[[#This Row],[Momento da falha]]="","",IFERROR(VLOOKUP(tbLancamentos[[#This Row],[Equipamento]],CadEqu!$F$7:$H$506,3,FALSE),""))</f>
        <v/>
      </c>
      <c r="J209" s="96" t="str">
        <f ca="1">IF(tbLancamentos[Tempo indisponível]="","",IF(tbLancamentos[Tempo indisponível]&lt;=tbLancamentos[Meta tempo reparo],0,tbLancamentos[Tempo indisponível]-tbLancamentos[Meta tempo reparo]))</f>
        <v/>
      </c>
      <c r="K20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09" s="97"/>
      <c r="M209" s="98" t="str">
        <f>IF(tbLancamentos[[#This Row],[Equipamento]]="","",IFERROR(INDEX(CadEqu!$C$7:$F$506,MATCH(tbLancamentos[[#This Row],[Equipamento]],CadEqu!$F$7:$F$506,0),1),""))</f>
        <v/>
      </c>
    </row>
    <row r="210" spans="2:13" x14ac:dyDescent="0.25">
      <c r="B210" s="2">
        <f>COUNTA($B$6:B209)</f>
        <v>204</v>
      </c>
      <c r="C210" s="94"/>
      <c r="D210" s="16" t="str">
        <f>IFERROR(IF(C210="","",INDEX(CadEqu!$E$7:$F$506,MATCH(tbLancamentos[[#This Row],[Equipamento]],CadEqu!$F$7:$F$506,0),1)),"")</f>
        <v/>
      </c>
      <c r="E210" s="94"/>
      <c r="F210" s="95"/>
      <c r="G210" s="95"/>
      <c r="H210" s="96" t="str">
        <f ca="1">IF(tbLancamentos[Momento da falha]="","",IF(tbLancamentos[Momento do retorno]="",NOW()-tbLancamentos[Momento da falha],tbLancamentos[Momento do retorno]-tbLancamentos[Momento da falha]))</f>
        <v/>
      </c>
      <c r="I210" s="96" t="str">
        <f>IF(tbLancamentos[[#This Row],[Momento da falha]]="","",IFERROR(VLOOKUP(tbLancamentos[[#This Row],[Equipamento]],CadEqu!$F$7:$H$506,3,FALSE),""))</f>
        <v/>
      </c>
      <c r="J210" s="96" t="str">
        <f ca="1">IF(tbLancamentos[Tempo indisponível]="","",IF(tbLancamentos[Tempo indisponível]&lt;=tbLancamentos[Meta tempo reparo],0,tbLancamentos[Tempo indisponível]-tbLancamentos[Meta tempo reparo]))</f>
        <v/>
      </c>
      <c r="K21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0" s="97"/>
      <c r="M210" s="98" t="str">
        <f>IF(tbLancamentos[[#This Row],[Equipamento]]="","",IFERROR(INDEX(CadEqu!$C$7:$F$506,MATCH(tbLancamentos[[#This Row],[Equipamento]],CadEqu!$F$7:$F$506,0),1),""))</f>
        <v/>
      </c>
    </row>
    <row r="211" spans="2:13" x14ac:dyDescent="0.25">
      <c r="B211" s="2">
        <f>COUNTA($B$6:B210)</f>
        <v>205</v>
      </c>
      <c r="C211" s="94"/>
      <c r="D211" s="16" t="str">
        <f>IFERROR(IF(C211="","",INDEX(CadEqu!$E$7:$F$506,MATCH(tbLancamentos[[#This Row],[Equipamento]],CadEqu!$F$7:$F$506,0),1)),"")</f>
        <v/>
      </c>
      <c r="E211" s="94"/>
      <c r="F211" s="95"/>
      <c r="G211" s="95"/>
      <c r="H211" s="96" t="str">
        <f ca="1">IF(tbLancamentos[Momento da falha]="","",IF(tbLancamentos[Momento do retorno]="",NOW()-tbLancamentos[Momento da falha],tbLancamentos[Momento do retorno]-tbLancamentos[Momento da falha]))</f>
        <v/>
      </c>
      <c r="I211" s="96" t="str">
        <f>IF(tbLancamentos[[#This Row],[Momento da falha]]="","",IFERROR(VLOOKUP(tbLancamentos[[#This Row],[Equipamento]],CadEqu!$F$7:$H$506,3,FALSE),""))</f>
        <v/>
      </c>
      <c r="J211" s="96" t="str">
        <f ca="1">IF(tbLancamentos[Tempo indisponível]="","",IF(tbLancamentos[Tempo indisponível]&lt;=tbLancamentos[Meta tempo reparo],0,tbLancamentos[Tempo indisponível]-tbLancamentos[Meta tempo reparo]))</f>
        <v/>
      </c>
      <c r="K21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1" s="97"/>
      <c r="M211" s="98" t="str">
        <f>IF(tbLancamentos[[#This Row],[Equipamento]]="","",IFERROR(INDEX(CadEqu!$C$7:$F$506,MATCH(tbLancamentos[[#This Row],[Equipamento]],CadEqu!$F$7:$F$506,0),1),""))</f>
        <v/>
      </c>
    </row>
    <row r="212" spans="2:13" x14ac:dyDescent="0.25">
      <c r="B212" s="2">
        <f>COUNTA($B$6:B211)</f>
        <v>206</v>
      </c>
      <c r="C212" s="94"/>
      <c r="D212" s="16" t="str">
        <f>IFERROR(IF(C212="","",INDEX(CadEqu!$E$7:$F$506,MATCH(tbLancamentos[[#This Row],[Equipamento]],CadEqu!$F$7:$F$506,0),1)),"")</f>
        <v/>
      </c>
      <c r="E212" s="94"/>
      <c r="F212" s="95"/>
      <c r="G212" s="95"/>
      <c r="H212" s="96" t="str">
        <f ca="1">IF(tbLancamentos[Momento da falha]="","",IF(tbLancamentos[Momento do retorno]="",NOW()-tbLancamentos[Momento da falha],tbLancamentos[Momento do retorno]-tbLancamentos[Momento da falha]))</f>
        <v/>
      </c>
      <c r="I212" s="96" t="str">
        <f>IF(tbLancamentos[[#This Row],[Momento da falha]]="","",IFERROR(VLOOKUP(tbLancamentos[[#This Row],[Equipamento]],CadEqu!$F$7:$H$506,3,FALSE),""))</f>
        <v/>
      </c>
      <c r="J212" s="96" t="str">
        <f ca="1">IF(tbLancamentos[Tempo indisponível]="","",IF(tbLancamentos[Tempo indisponível]&lt;=tbLancamentos[Meta tempo reparo],0,tbLancamentos[Tempo indisponível]-tbLancamentos[Meta tempo reparo]))</f>
        <v/>
      </c>
      <c r="K21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2" s="97"/>
      <c r="M212" s="98" t="str">
        <f>IF(tbLancamentos[[#This Row],[Equipamento]]="","",IFERROR(INDEX(CadEqu!$C$7:$F$506,MATCH(tbLancamentos[[#This Row],[Equipamento]],CadEqu!$F$7:$F$506,0),1),""))</f>
        <v/>
      </c>
    </row>
    <row r="213" spans="2:13" x14ac:dyDescent="0.25">
      <c r="B213" s="2">
        <f>COUNTA($B$6:B212)</f>
        <v>207</v>
      </c>
      <c r="C213" s="94"/>
      <c r="D213" s="16" t="str">
        <f>IFERROR(IF(C213="","",INDEX(CadEqu!$E$7:$F$506,MATCH(tbLancamentos[[#This Row],[Equipamento]],CadEqu!$F$7:$F$506,0),1)),"")</f>
        <v/>
      </c>
      <c r="E213" s="94"/>
      <c r="F213" s="95"/>
      <c r="G213" s="95"/>
      <c r="H213" s="96" t="str">
        <f ca="1">IF(tbLancamentos[Momento da falha]="","",IF(tbLancamentos[Momento do retorno]="",NOW()-tbLancamentos[Momento da falha],tbLancamentos[Momento do retorno]-tbLancamentos[Momento da falha]))</f>
        <v/>
      </c>
      <c r="I213" s="96" t="str">
        <f>IF(tbLancamentos[[#This Row],[Momento da falha]]="","",IFERROR(VLOOKUP(tbLancamentos[[#This Row],[Equipamento]],CadEqu!$F$7:$H$506,3,FALSE),""))</f>
        <v/>
      </c>
      <c r="J213" s="96" t="str">
        <f ca="1">IF(tbLancamentos[Tempo indisponível]="","",IF(tbLancamentos[Tempo indisponível]&lt;=tbLancamentos[Meta tempo reparo],0,tbLancamentos[Tempo indisponível]-tbLancamentos[Meta tempo reparo]))</f>
        <v/>
      </c>
      <c r="K21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3" s="97"/>
      <c r="M213" s="98" t="str">
        <f>IF(tbLancamentos[[#This Row],[Equipamento]]="","",IFERROR(INDEX(CadEqu!$C$7:$F$506,MATCH(tbLancamentos[[#This Row],[Equipamento]],CadEqu!$F$7:$F$506,0),1),""))</f>
        <v/>
      </c>
    </row>
    <row r="214" spans="2:13" x14ac:dyDescent="0.25">
      <c r="B214" s="2">
        <f>COUNTA($B$6:B213)</f>
        <v>208</v>
      </c>
      <c r="C214" s="94"/>
      <c r="D214" s="16" t="str">
        <f>IFERROR(IF(C214="","",INDEX(CadEqu!$E$7:$F$506,MATCH(tbLancamentos[[#This Row],[Equipamento]],CadEqu!$F$7:$F$506,0),1)),"")</f>
        <v/>
      </c>
      <c r="E214" s="94"/>
      <c r="F214" s="95"/>
      <c r="G214" s="95"/>
      <c r="H214" s="96" t="str">
        <f ca="1">IF(tbLancamentos[Momento da falha]="","",IF(tbLancamentos[Momento do retorno]="",NOW()-tbLancamentos[Momento da falha],tbLancamentos[Momento do retorno]-tbLancamentos[Momento da falha]))</f>
        <v/>
      </c>
      <c r="I214" s="96" t="str">
        <f>IF(tbLancamentos[[#This Row],[Momento da falha]]="","",IFERROR(VLOOKUP(tbLancamentos[[#This Row],[Equipamento]],CadEqu!$F$7:$H$506,3,FALSE),""))</f>
        <v/>
      </c>
      <c r="J214" s="96" t="str">
        <f ca="1">IF(tbLancamentos[Tempo indisponível]="","",IF(tbLancamentos[Tempo indisponível]&lt;=tbLancamentos[Meta tempo reparo],0,tbLancamentos[Tempo indisponível]-tbLancamentos[Meta tempo reparo]))</f>
        <v/>
      </c>
      <c r="K21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4" s="97"/>
      <c r="M214" s="98" t="str">
        <f>IF(tbLancamentos[[#This Row],[Equipamento]]="","",IFERROR(INDEX(CadEqu!$C$7:$F$506,MATCH(tbLancamentos[[#This Row],[Equipamento]],CadEqu!$F$7:$F$506,0),1),""))</f>
        <v/>
      </c>
    </row>
    <row r="215" spans="2:13" x14ac:dyDescent="0.25">
      <c r="B215" s="2">
        <f>COUNTA($B$6:B214)</f>
        <v>209</v>
      </c>
      <c r="C215" s="94"/>
      <c r="D215" s="16" t="str">
        <f>IFERROR(IF(C215="","",INDEX(CadEqu!$E$7:$F$506,MATCH(tbLancamentos[[#This Row],[Equipamento]],CadEqu!$F$7:$F$506,0),1)),"")</f>
        <v/>
      </c>
      <c r="E215" s="94"/>
      <c r="F215" s="95"/>
      <c r="G215" s="95"/>
      <c r="H215" s="96" t="str">
        <f ca="1">IF(tbLancamentos[Momento da falha]="","",IF(tbLancamentos[Momento do retorno]="",NOW()-tbLancamentos[Momento da falha],tbLancamentos[Momento do retorno]-tbLancamentos[Momento da falha]))</f>
        <v/>
      </c>
      <c r="I215" s="96" t="str">
        <f>IF(tbLancamentos[[#This Row],[Momento da falha]]="","",IFERROR(VLOOKUP(tbLancamentos[[#This Row],[Equipamento]],CadEqu!$F$7:$H$506,3,FALSE),""))</f>
        <v/>
      </c>
      <c r="J215" s="96" t="str">
        <f ca="1">IF(tbLancamentos[Tempo indisponível]="","",IF(tbLancamentos[Tempo indisponível]&lt;=tbLancamentos[Meta tempo reparo],0,tbLancamentos[Tempo indisponível]-tbLancamentos[Meta tempo reparo]))</f>
        <v/>
      </c>
      <c r="K21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5" s="97"/>
      <c r="M215" s="98" t="str">
        <f>IF(tbLancamentos[[#This Row],[Equipamento]]="","",IFERROR(INDEX(CadEqu!$C$7:$F$506,MATCH(tbLancamentos[[#This Row],[Equipamento]],CadEqu!$F$7:$F$506,0),1),""))</f>
        <v/>
      </c>
    </row>
    <row r="216" spans="2:13" x14ac:dyDescent="0.25">
      <c r="B216" s="2">
        <f>COUNTA($B$6:B215)</f>
        <v>210</v>
      </c>
      <c r="C216" s="94"/>
      <c r="D216" s="16" t="str">
        <f>IFERROR(IF(C216="","",INDEX(CadEqu!$E$7:$F$506,MATCH(tbLancamentos[[#This Row],[Equipamento]],CadEqu!$F$7:$F$506,0),1)),"")</f>
        <v/>
      </c>
      <c r="E216" s="94"/>
      <c r="F216" s="95"/>
      <c r="G216" s="95"/>
      <c r="H216" s="96" t="str">
        <f ca="1">IF(tbLancamentos[Momento da falha]="","",IF(tbLancamentos[Momento do retorno]="",NOW()-tbLancamentos[Momento da falha],tbLancamentos[Momento do retorno]-tbLancamentos[Momento da falha]))</f>
        <v/>
      </c>
      <c r="I216" s="96" t="str">
        <f>IF(tbLancamentos[[#This Row],[Momento da falha]]="","",IFERROR(VLOOKUP(tbLancamentos[[#This Row],[Equipamento]],CadEqu!$F$7:$H$506,3,FALSE),""))</f>
        <v/>
      </c>
      <c r="J216" s="96" t="str">
        <f ca="1">IF(tbLancamentos[Tempo indisponível]="","",IF(tbLancamentos[Tempo indisponível]&lt;=tbLancamentos[Meta tempo reparo],0,tbLancamentos[Tempo indisponível]-tbLancamentos[Meta tempo reparo]))</f>
        <v/>
      </c>
      <c r="K21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6" s="97"/>
      <c r="M216" s="98" t="str">
        <f>IF(tbLancamentos[[#This Row],[Equipamento]]="","",IFERROR(INDEX(CadEqu!$C$7:$F$506,MATCH(tbLancamentos[[#This Row],[Equipamento]],CadEqu!$F$7:$F$506,0),1),""))</f>
        <v/>
      </c>
    </row>
    <row r="217" spans="2:13" x14ac:dyDescent="0.25">
      <c r="B217" s="2">
        <f>COUNTA($B$6:B216)</f>
        <v>211</v>
      </c>
      <c r="C217" s="94"/>
      <c r="D217" s="16" t="str">
        <f>IFERROR(IF(C217="","",INDEX(CadEqu!$E$7:$F$506,MATCH(tbLancamentos[[#This Row],[Equipamento]],CadEqu!$F$7:$F$506,0),1)),"")</f>
        <v/>
      </c>
      <c r="E217" s="94"/>
      <c r="F217" s="95"/>
      <c r="G217" s="95"/>
      <c r="H217" s="96" t="str">
        <f ca="1">IF(tbLancamentos[Momento da falha]="","",IF(tbLancamentos[Momento do retorno]="",NOW()-tbLancamentos[Momento da falha],tbLancamentos[Momento do retorno]-tbLancamentos[Momento da falha]))</f>
        <v/>
      </c>
      <c r="I217" s="96" t="str">
        <f>IF(tbLancamentos[[#This Row],[Momento da falha]]="","",IFERROR(VLOOKUP(tbLancamentos[[#This Row],[Equipamento]],CadEqu!$F$7:$H$506,3,FALSE),""))</f>
        <v/>
      </c>
      <c r="J217" s="96" t="str">
        <f ca="1">IF(tbLancamentos[Tempo indisponível]="","",IF(tbLancamentos[Tempo indisponível]&lt;=tbLancamentos[Meta tempo reparo],0,tbLancamentos[Tempo indisponível]-tbLancamentos[Meta tempo reparo]))</f>
        <v/>
      </c>
      <c r="K21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7" s="97"/>
      <c r="M217" s="98" t="str">
        <f>IF(tbLancamentos[[#This Row],[Equipamento]]="","",IFERROR(INDEX(CadEqu!$C$7:$F$506,MATCH(tbLancamentos[[#This Row],[Equipamento]],CadEqu!$F$7:$F$506,0),1),""))</f>
        <v/>
      </c>
    </row>
    <row r="218" spans="2:13" x14ac:dyDescent="0.25">
      <c r="B218" s="2">
        <f>COUNTA($B$6:B217)</f>
        <v>212</v>
      </c>
      <c r="C218" s="94"/>
      <c r="D218" s="16" t="str">
        <f>IFERROR(IF(C218="","",INDEX(CadEqu!$E$7:$F$506,MATCH(tbLancamentos[[#This Row],[Equipamento]],CadEqu!$F$7:$F$506,0),1)),"")</f>
        <v/>
      </c>
      <c r="E218" s="94"/>
      <c r="F218" s="95"/>
      <c r="G218" s="95"/>
      <c r="H218" s="96" t="str">
        <f ca="1">IF(tbLancamentos[Momento da falha]="","",IF(tbLancamentos[Momento do retorno]="",NOW()-tbLancamentos[Momento da falha],tbLancamentos[Momento do retorno]-tbLancamentos[Momento da falha]))</f>
        <v/>
      </c>
      <c r="I218" s="96" t="str">
        <f>IF(tbLancamentos[[#This Row],[Momento da falha]]="","",IFERROR(VLOOKUP(tbLancamentos[[#This Row],[Equipamento]],CadEqu!$F$7:$H$506,3,FALSE),""))</f>
        <v/>
      </c>
      <c r="J218" s="96" t="str">
        <f ca="1">IF(tbLancamentos[Tempo indisponível]="","",IF(tbLancamentos[Tempo indisponível]&lt;=tbLancamentos[Meta tempo reparo],0,tbLancamentos[Tempo indisponível]-tbLancamentos[Meta tempo reparo]))</f>
        <v/>
      </c>
      <c r="K21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8" s="97"/>
      <c r="M218" s="98" t="str">
        <f>IF(tbLancamentos[[#This Row],[Equipamento]]="","",IFERROR(INDEX(CadEqu!$C$7:$F$506,MATCH(tbLancamentos[[#This Row],[Equipamento]],CadEqu!$F$7:$F$506,0),1),""))</f>
        <v/>
      </c>
    </row>
    <row r="219" spans="2:13" x14ac:dyDescent="0.25">
      <c r="B219" s="2">
        <f>COUNTA($B$6:B218)</f>
        <v>213</v>
      </c>
      <c r="C219" s="94"/>
      <c r="D219" s="16" t="str">
        <f>IFERROR(IF(C219="","",INDEX(CadEqu!$E$7:$F$506,MATCH(tbLancamentos[[#This Row],[Equipamento]],CadEqu!$F$7:$F$506,0),1)),"")</f>
        <v/>
      </c>
      <c r="E219" s="94"/>
      <c r="F219" s="95"/>
      <c r="G219" s="95"/>
      <c r="H219" s="96" t="str">
        <f ca="1">IF(tbLancamentos[Momento da falha]="","",IF(tbLancamentos[Momento do retorno]="",NOW()-tbLancamentos[Momento da falha],tbLancamentos[Momento do retorno]-tbLancamentos[Momento da falha]))</f>
        <v/>
      </c>
      <c r="I219" s="96" t="str">
        <f>IF(tbLancamentos[[#This Row],[Momento da falha]]="","",IFERROR(VLOOKUP(tbLancamentos[[#This Row],[Equipamento]],CadEqu!$F$7:$H$506,3,FALSE),""))</f>
        <v/>
      </c>
      <c r="J219" s="96" t="str">
        <f ca="1">IF(tbLancamentos[Tempo indisponível]="","",IF(tbLancamentos[Tempo indisponível]&lt;=tbLancamentos[Meta tempo reparo],0,tbLancamentos[Tempo indisponível]-tbLancamentos[Meta tempo reparo]))</f>
        <v/>
      </c>
      <c r="K21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19" s="97"/>
      <c r="M219" s="98" t="str">
        <f>IF(tbLancamentos[[#This Row],[Equipamento]]="","",IFERROR(INDEX(CadEqu!$C$7:$F$506,MATCH(tbLancamentos[[#This Row],[Equipamento]],CadEqu!$F$7:$F$506,0),1),""))</f>
        <v/>
      </c>
    </row>
    <row r="220" spans="2:13" x14ac:dyDescent="0.25">
      <c r="B220" s="2">
        <f>COUNTA($B$6:B219)</f>
        <v>214</v>
      </c>
      <c r="C220" s="94"/>
      <c r="D220" s="16" t="str">
        <f>IFERROR(IF(C220="","",INDEX(CadEqu!$E$7:$F$506,MATCH(tbLancamentos[[#This Row],[Equipamento]],CadEqu!$F$7:$F$506,0),1)),"")</f>
        <v/>
      </c>
      <c r="E220" s="94"/>
      <c r="F220" s="95"/>
      <c r="G220" s="95"/>
      <c r="H220" s="96" t="str">
        <f ca="1">IF(tbLancamentos[Momento da falha]="","",IF(tbLancamentos[Momento do retorno]="",NOW()-tbLancamentos[Momento da falha],tbLancamentos[Momento do retorno]-tbLancamentos[Momento da falha]))</f>
        <v/>
      </c>
      <c r="I220" s="96" t="str">
        <f>IF(tbLancamentos[[#This Row],[Momento da falha]]="","",IFERROR(VLOOKUP(tbLancamentos[[#This Row],[Equipamento]],CadEqu!$F$7:$H$506,3,FALSE),""))</f>
        <v/>
      </c>
      <c r="J220" s="96" t="str">
        <f ca="1">IF(tbLancamentos[Tempo indisponível]="","",IF(tbLancamentos[Tempo indisponível]&lt;=tbLancamentos[Meta tempo reparo],0,tbLancamentos[Tempo indisponível]-tbLancamentos[Meta tempo reparo]))</f>
        <v/>
      </c>
      <c r="K22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0" s="97"/>
      <c r="M220" s="98" t="str">
        <f>IF(tbLancamentos[[#This Row],[Equipamento]]="","",IFERROR(INDEX(CadEqu!$C$7:$F$506,MATCH(tbLancamentos[[#This Row],[Equipamento]],CadEqu!$F$7:$F$506,0),1),""))</f>
        <v/>
      </c>
    </row>
    <row r="221" spans="2:13" x14ac:dyDescent="0.25">
      <c r="B221" s="2">
        <f>COUNTA($B$6:B220)</f>
        <v>215</v>
      </c>
      <c r="C221" s="94"/>
      <c r="D221" s="16" t="str">
        <f>IFERROR(IF(C221="","",INDEX(CadEqu!$E$7:$F$506,MATCH(tbLancamentos[[#This Row],[Equipamento]],CadEqu!$F$7:$F$506,0),1)),"")</f>
        <v/>
      </c>
      <c r="E221" s="94"/>
      <c r="F221" s="95"/>
      <c r="G221" s="95"/>
      <c r="H221" s="96" t="str">
        <f ca="1">IF(tbLancamentos[Momento da falha]="","",IF(tbLancamentos[Momento do retorno]="",NOW()-tbLancamentos[Momento da falha],tbLancamentos[Momento do retorno]-tbLancamentos[Momento da falha]))</f>
        <v/>
      </c>
      <c r="I221" s="96" t="str">
        <f>IF(tbLancamentos[[#This Row],[Momento da falha]]="","",IFERROR(VLOOKUP(tbLancamentos[[#This Row],[Equipamento]],CadEqu!$F$7:$H$506,3,FALSE),""))</f>
        <v/>
      </c>
      <c r="J221" s="96" t="str">
        <f ca="1">IF(tbLancamentos[Tempo indisponível]="","",IF(tbLancamentos[Tempo indisponível]&lt;=tbLancamentos[Meta tempo reparo],0,tbLancamentos[Tempo indisponível]-tbLancamentos[Meta tempo reparo]))</f>
        <v/>
      </c>
      <c r="K22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1" s="97"/>
      <c r="M221" s="98" t="str">
        <f>IF(tbLancamentos[[#This Row],[Equipamento]]="","",IFERROR(INDEX(CadEqu!$C$7:$F$506,MATCH(tbLancamentos[[#This Row],[Equipamento]],CadEqu!$F$7:$F$506,0),1),""))</f>
        <v/>
      </c>
    </row>
    <row r="222" spans="2:13" x14ac:dyDescent="0.25">
      <c r="B222" s="2">
        <f>COUNTA($B$6:B221)</f>
        <v>216</v>
      </c>
      <c r="C222" s="94"/>
      <c r="D222" s="16" t="str">
        <f>IFERROR(IF(C222="","",INDEX(CadEqu!$E$7:$F$506,MATCH(tbLancamentos[[#This Row],[Equipamento]],CadEqu!$F$7:$F$506,0),1)),"")</f>
        <v/>
      </c>
      <c r="E222" s="94"/>
      <c r="F222" s="95"/>
      <c r="G222" s="95"/>
      <c r="H222" s="96" t="str">
        <f ca="1">IF(tbLancamentos[Momento da falha]="","",IF(tbLancamentos[Momento do retorno]="",NOW()-tbLancamentos[Momento da falha],tbLancamentos[Momento do retorno]-tbLancamentos[Momento da falha]))</f>
        <v/>
      </c>
      <c r="I222" s="96" t="str">
        <f>IF(tbLancamentos[[#This Row],[Momento da falha]]="","",IFERROR(VLOOKUP(tbLancamentos[[#This Row],[Equipamento]],CadEqu!$F$7:$H$506,3,FALSE),""))</f>
        <v/>
      </c>
      <c r="J222" s="96" t="str">
        <f ca="1">IF(tbLancamentos[Tempo indisponível]="","",IF(tbLancamentos[Tempo indisponível]&lt;=tbLancamentos[Meta tempo reparo],0,tbLancamentos[Tempo indisponível]-tbLancamentos[Meta tempo reparo]))</f>
        <v/>
      </c>
      <c r="K22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2" s="97"/>
      <c r="M222" s="98" t="str">
        <f>IF(tbLancamentos[[#This Row],[Equipamento]]="","",IFERROR(INDEX(CadEqu!$C$7:$F$506,MATCH(tbLancamentos[[#This Row],[Equipamento]],CadEqu!$F$7:$F$506,0),1),""))</f>
        <v/>
      </c>
    </row>
    <row r="223" spans="2:13" x14ac:dyDescent="0.25">
      <c r="B223" s="2">
        <f>COUNTA($B$6:B222)</f>
        <v>217</v>
      </c>
      <c r="C223" s="94"/>
      <c r="D223" s="16" t="str">
        <f>IFERROR(IF(C223="","",INDEX(CadEqu!$E$7:$F$506,MATCH(tbLancamentos[[#This Row],[Equipamento]],CadEqu!$F$7:$F$506,0),1)),"")</f>
        <v/>
      </c>
      <c r="E223" s="94"/>
      <c r="F223" s="95"/>
      <c r="G223" s="95"/>
      <c r="H223" s="96" t="str">
        <f ca="1">IF(tbLancamentos[Momento da falha]="","",IF(tbLancamentos[Momento do retorno]="",NOW()-tbLancamentos[Momento da falha],tbLancamentos[Momento do retorno]-tbLancamentos[Momento da falha]))</f>
        <v/>
      </c>
      <c r="I223" s="96" t="str">
        <f>IF(tbLancamentos[[#This Row],[Momento da falha]]="","",IFERROR(VLOOKUP(tbLancamentos[[#This Row],[Equipamento]],CadEqu!$F$7:$H$506,3,FALSE),""))</f>
        <v/>
      </c>
      <c r="J223" s="96" t="str">
        <f ca="1">IF(tbLancamentos[Tempo indisponível]="","",IF(tbLancamentos[Tempo indisponível]&lt;=tbLancamentos[Meta tempo reparo],0,tbLancamentos[Tempo indisponível]-tbLancamentos[Meta tempo reparo]))</f>
        <v/>
      </c>
      <c r="K22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3" s="97"/>
      <c r="M223" s="98" t="str">
        <f>IF(tbLancamentos[[#This Row],[Equipamento]]="","",IFERROR(INDEX(CadEqu!$C$7:$F$506,MATCH(tbLancamentos[[#This Row],[Equipamento]],CadEqu!$F$7:$F$506,0),1),""))</f>
        <v/>
      </c>
    </row>
    <row r="224" spans="2:13" x14ac:dyDescent="0.25">
      <c r="B224" s="2">
        <f>COUNTA($B$6:B223)</f>
        <v>218</v>
      </c>
      <c r="C224" s="94"/>
      <c r="D224" s="16" t="str">
        <f>IFERROR(IF(C224="","",INDEX(CadEqu!$E$7:$F$506,MATCH(tbLancamentos[[#This Row],[Equipamento]],CadEqu!$F$7:$F$506,0),1)),"")</f>
        <v/>
      </c>
      <c r="E224" s="94"/>
      <c r="F224" s="95"/>
      <c r="G224" s="95"/>
      <c r="H224" s="96" t="str">
        <f ca="1">IF(tbLancamentos[Momento da falha]="","",IF(tbLancamentos[Momento do retorno]="",NOW()-tbLancamentos[Momento da falha],tbLancamentos[Momento do retorno]-tbLancamentos[Momento da falha]))</f>
        <v/>
      </c>
      <c r="I224" s="96" t="str">
        <f>IF(tbLancamentos[[#This Row],[Momento da falha]]="","",IFERROR(VLOOKUP(tbLancamentos[[#This Row],[Equipamento]],CadEqu!$F$7:$H$506,3,FALSE),""))</f>
        <v/>
      </c>
      <c r="J224" s="96" t="str">
        <f ca="1">IF(tbLancamentos[Tempo indisponível]="","",IF(tbLancamentos[Tempo indisponível]&lt;=tbLancamentos[Meta tempo reparo],0,tbLancamentos[Tempo indisponível]-tbLancamentos[Meta tempo reparo]))</f>
        <v/>
      </c>
      <c r="K22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4" s="97"/>
      <c r="M224" s="98" t="str">
        <f>IF(tbLancamentos[[#This Row],[Equipamento]]="","",IFERROR(INDEX(CadEqu!$C$7:$F$506,MATCH(tbLancamentos[[#This Row],[Equipamento]],CadEqu!$F$7:$F$506,0),1),""))</f>
        <v/>
      </c>
    </row>
    <row r="225" spans="2:13" x14ac:dyDescent="0.25">
      <c r="B225" s="2">
        <f>COUNTA($B$6:B224)</f>
        <v>219</v>
      </c>
      <c r="C225" s="94"/>
      <c r="D225" s="16" t="str">
        <f>IFERROR(IF(C225="","",INDEX(CadEqu!$E$7:$F$506,MATCH(tbLancamentos[[#This Row],[Equipamento]],CadEqu!$F$7:$F$506,0),1)),"")</f>
        <v/>
      </c>
      <c r="E225" s="94"/>
      <c r="F225" s="95"/>
      <c r="G225" s="95"/>
      <c r="H225" s="96" t="str">
        <f ca="1">IF(tbLancamentos[Momento da falha]="","",IF(tbLancamentos[Momento do retorno]="",NOW()-tbLancamentos[Momento da falha],tbLancamentos[Momento do retorno]-tbLancamentos[Momento da falha]))</f>
        <v/>
      </c>
      <c r="I225" s="96" t="str">
        <f>IF(tbLancamentos[[#This Row],[Momento da falha]]="","",IFERROR(VLOOKUP(tbLancamentos[[#This Row],[Equipamento]],CadEqu!$F$7:$H$506,3,FALSE),""))</f>
        <v/>
      </c>
      <c r="J225" s="96" t="str">
        <f ca="1">IF(tbLancamentos[Tempo indisponível]="","",IF(tbLancamentos[Tempo indisponível]&lt;=tbLancamentos[Meta tempo reparo],0,tbLancamentos[Tempo indisponível]-tbLancamentos[Meta tempo reparo]))</f>
        <v/>
      </c>
      <c r="K22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5" s="97"/>
      <c r="M225" s="98" t="str">
        <f>IF(tbLancamentos[[#This Row],[Equipamento]]="","",IFERROR(INDEX(CadEqu!$C$7:$F$506,MATCH(tbLancamentos[[#This Row],[Equipamento]],CadEqu!$F$7:$F$506,0),1),""))</f>
        <v/>
      </c>
    </row>
    <row r="226" spans="2:13" x14ac:dyDescent="0.25">
      <c r="B226" s="2">
        <f>COUNTA($B$6:B225)</f>
        <v>220</v>
      </c>
      <c r="C226" s="94"/>
      <c r="D226" s="16" t="str">
        <f>IFERROR(IF(C226="","",INDEX(CadEqu!$E$7:$F$506,MATCH(tbLancamentos[[#This Row],[Equipamento]],CadEqu!$F$7:$F$506,0),1)),"")</f>
        <v/>
      </c>
      <c r="E226" s="94"/>
      <c r="F226" s="95"/>
      <c r="G226" s="95"/>
      <c r="H226" s="96" t="str">
        <f ca="1">IF(tbLancamentos[Momento da falha]="","",IF(tbLancamentos[Momento do retorno]="",NOW()-tbLancamentos[Momento da falha],tbLancamentos[Momento do retorno]-tbLancamentos[Momento da falha]))</f>
        <v/>
      </c>
      <c r="I226" s="96" t="str">
        <f>IF(tbLancamentos[[#This Row],[Momento da falha]]="","",IFERROR(VLOOKUP(tbLancamentos[[#This Row],[Equipamento]],CadEqu!$F$7:$H$506,3,FALSE),""))</f>
        <v/>
      </c>
      <c r="J226" s="96" t="str">
        <f ca="1">IF(tbLancamentos[Tempo indisponível]="","",IF(tbLancamentos[Tempo indisponível]&lt;=tbLancamentos[Meta tempo reparo],0,tbLancamentos[Tempo indisponível]-tbLancamentos[Meta tempo reparo]))</f>
        <v/>
      </c>
      <c r="K22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6" s="97"/>
      <c r="M226" s="98" t="str">
        <f>IF(tbLancamentos[[#This Row],[Equipamento]]="","",IFERROR(INDEX(CadEqu!$C$7:$F$506,MATCH(tbLancamentos[[#This Row],[Equipamento]],CadEqu!$F$7:$F$506,0),1),""))</f>
        <v/>
      </c>
    </row>
    <row r="227" spans="2:13" x14ac:dyDescent="0.25">
      <c r="B227" s="2">
        <f>COUNTA($B$6:B226)</f>
        <v>221</v>
      </c>
      <c r="C227" s="94"/>
      <c r="D227" s="16" t="str">
        <f>IFERROR(IF(C227="","",INDEX(CadEqu!$E$7:$F$506,MATCH(tbLancamentos[[#This Row],[Equipamento]],CadEqu!$F$7:$F$506,0),1)),"")</f>
        <v/>
      </c>
      <c r="E227" s="94"/>
      <c r="F227" s="95"/>
      <c r="G227" s="95"/>
      <c r="H227" s="96" t="str">
        <f ca="1">IF(tbLancamentos[Momento da falha]="","",IF(tbLancamentos[Momento do retorno]="",NOW()-tbLancamentos[Momento da falha],tbLancamentos[Momento do retorno]-tbLancamentos[Momento da falha]))</f>
        <v/>
      </c>
      <c r="I227" s="96" t="str">
        <f>IF(tbLancamentos[[#This Row],[Momento da falha]]="","",IFERROR(VLOOKUP(tbLancamentos[[#This Row],[Equipamento]],CadEqu!$F$7:$H$506,3,FALSE),""))</f>
        <v/>
      </c>
      <c r="J227" s="96" t="str">
        <f ca="1">IF(tbLancamentos[Tempo indisponível]="","",IF(tbLancamentos[Tempo indisponível]&lt;=tbLancamentos[Meta tempo reparo],0,tbLancamentos[Tempo indisponível]-tbLancamentos[Meta tempo reparo]))</f>
        <v/>
      </c>
      <c r="K22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7" s="97"/>
      <c r="M227" s="98" t="str">
        <f>IF(tbLancamentos[[#This Row],[Equipamento]]="","",IFERROR(INDEX(CadEqu!$C$7:$F$506,MATCH(tbLancamentos[[#This Row],[Equipamento]],CadEqu!$F$7:$F$506,0),1),""))</f>
        <v/>
      </c>
    </row>
    <row r="228" spans="2:13" x14ac:dyDescent="0.25">
      <c r="B228" s="2">
        <f>COUNTA($B$6:B227)</f>
        <v>222</v>
      </c>
      <c r="C228" s="94"/>
      <c r="D228" s="16" t="str">
        <f>IFERROR(IF(C228="","",INDEX(CadEqu!$E$7:$F$506,MATCH(tbLancamentos[[#This Row],[Equipamento]],CadEqu!$F$7:$F$506,0),1)),"")</f>
        <v/>
      </c>
      <c r="E228" s="94"/>
      <c r="F228" s="95"/>
      <c r="G228" s="95"/>
      <c r="H228" s="96" t="str">
        <f ca="1">IF(tbLancamentos[Momento da falha]="","",IF(tbLancamentos[Momento do retorno]="",NOW()-tbLancamentos[Momento da falha],tbLancamentos[Momento do retorno]-tbLancamentos[Momento da falha]))</f>
        <v/>
      </c>
      <c r="I228" s="96" t="str">
        <f>IF(tbLancamentos[[#This Row],[Momento da falha]]="","",IFERROR(VLOOKUP(tbLancamentos[[#This Row],[Equipamento]],CadEqu!$F$7:$H$506,3,FALSE),""))</f>
        <v/>
      </c>
      <c r="J228" s="96" t="str">
        <f ca="1">IF(tbLancamentos[Tempo indisponível]="","",IF(tbLancamentos[Tempo indisponível]&lt;=tbLancamentos[Meta tempo reparo],0,tbLancamentos[Tempo indisponível]-tbLancamentos[Meta tempo reparo]))</f>
        <v/>
      </c>
      <c r="K22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8" s="97"/>
      <c r="M228" s="98" t="str">
        <f>IF(tbLancamentos[[#This Row],[Equipamento]]="","",IFERROR(INDEX(CadEqu!$C$7:$F$506,MATCH(tbLancamentos[[#This Row],[Equipamento]],CadEqu!$F$7:$F$506,0),1),""))</f>
        <v/>
      </c>
    </row>
    <row r="229" spans="2:13" x14ac:dyDescent="0.25">
      <c r="B229" s="2">
        <f>COUNTA($B$6:B228)</f>
        <v>223</v>
      </c>
      <c r="C229" s="94"/>
      <c r="D229" s="16" t="str">
        <f>IFERROR(IF(C229="","",INDEX(CadEqu!$E$7:$F$506,MATCH(tbLancamentos[[#This Row],[Equipamento]],CadEqu!$F$7:$F$506,0),1)),"")</f>
        <v/>
      </c>
      <c r="E229" s="94"/>
      <c r="F229" s="95"/>
      <c r="G229" s="95"/>
      <c r="H229" s="96" t="str">
        <f ca="1">IF(tbLancamentos[Momento da falha]="","",IF(tbLancamentos[Momento do retorno]="",NOW()-tbLancamentos[Momento da falha],tbLancamentos[Momento do retorno]-tbLancamentos[Momento da falha]))</f>
        <v/>
      </c>
      <c r="I229" s="96" t="str">
        <f>IF(tbLancamentos[[#This Row],[Momento da falha]]="","",IFERROR(VLOOKUP(tbLancamentos[[#This Row],[Equipamento]],CadEqu!$F$7:$H$506,3,FALSE),""))</f>
        <v/>
      </c>
      <c r="J229" s="96" t="str">
        <f ca="1">IF(tbLancamentos[Tempo indisponível]="","",IF(tbLancamentos[Tempo indisponível]&lt;=tbLancamentos[Meta tempo reparo],0,tbLancamentos[Tempo indisponível]-tbLancamentos[Meta tempo reparo]))</f>
        <v/>
      </c>
      <c r="K22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29" s="97"/>
      <c r="M229" s="98" t="str">
        <f>IF(tbLancamentos[[#This Row],[Equipamento]]="","",IFERROR(INDEX(CadEqu!$C$7:$F$506,MATCH(tbLancamentos[[#This Row],[Equipamento]],CadEqu!$F$7:$F$506,0),1),""))</f>
        <v/>
      </c>
    </row>
    <row r="230" spans="2:13" x14ac:dyDescent="0.25">
      <c r="B230" s="2">
        <f>COUNTA($B$6:B229)</f>
        <v>224</v>
      </c>
      <c r="C230" s="94"/>
      <c r="D230" s="16" t="str">
        <f>IFERROR(IF(C230="","",INDEX(CadEqu!$E$7:$F$506,MATCH(tbLancamentos[[#This Row],[Equipamento]],CadEqu!$F$7:$F$506,0),1)),"")</f>
        <v/>
      </c>
      <c r="E230" s="94"/>
      <c r="F230" s="95"/>
      <c r="G230" s="95"/>
      <c r="H230" s="96" t="str">
        <f ca="1">IF(tbLancamentos[Momento da falha]="","",IF(tbLancamentos[Momento do retorno]="",NOW()-tbLancamentos[Momento da falha],tbLancamentos[Momento do retorno]-tbLancamentos[Momento da falha]))</f>
        <v/>
      </c>
      <c r="I230" s="96" t="str">
        <f>IF(tbLancamentos[[#This Row],[Momento da falha]]="","",IFERROR(VLOOKUP(tbLancamentos[[#This Row],[Equipamento]],CadEqu!$F$7:$H$506,3,FALSE),""))</f>
        <v/>
      </c>
      <c r="J230" s="96" t="str">
        <f ca="1">IF(tbLancamentos[Tempo indisponível]="","",IF(tbLancamentos[Tempo indisponível]&lt;=tbLancamentos[Meta tempo reparo],0,tbLancamentos[Tempo indisponível]-tbLancamentos[Meta tempo reparo]))</f>
        <v/>
      </c>
      <c r="K23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0" s="97"/>
      <c r="M230" s="98" t="str">
        <f>IF(tbLancamentos[[#This Row],[Equipamento]]="","",IFERROR(INDEX(CadEqu!$C$7:$F$506,MATCH(tbLancamentos[[#This Row],[Equipamento]],CadEqu!$F$7:$F$506,0),1),""))</f>
        <v/>
      </c>
    </row>
    <row r="231" spans="2:13" x14ac:dyDescent="0.25">
      <c r="B231" s="2">
        <f>COUNTA($B$6:B230)</f>
        <v>225</v>
      </c>
      <c r="C231" s="94"/>
      <c r="D231" s="16" t="str">
        <f>IFERROR(IF(C231="","",INDEX(CadEqu!$E$7:$F$506,MATCH(tbLancamentos[[#This Row],[Equipamento]],CadEqu!$F$7:$F$506,0),1)),"")</f>
        <v/>
      </c>
      <c r="E231" s="94"/>
      <c r="F231" s="95"/>
      <c r="G231" s="95"/>
      <c r="H231" s="96" t="str">
        <f ca="1">IF(tbLancamentos[Momento da falha]="","",IF(tbLancamentos[Momento do retorno]="",NOW()-tbLancamentos[Momento da falha],tbLancamentos[Momento do retorno]-tbLancamentos[Momento da falha]))</f>
        <v/>
      </c>
      <c r="I231" s="96" t="str">
        <f>IF(tbLancamentos[[#This Row],[Momento da falha]]="","",IFERROR(VLOOKUP(tbLancamentos[[#This Row],[Equipamento]],CadEqu!$F$7:$H$506,3,FALSE),""))</f>
        <v/>
      </c>
      <c r="J231" s="96" t="str">
        <f ca="1">IF(tbLancamentos[Tempo indisponível]="","",IF(tbLancamentos[Tempo indisponível]&lt;=tbLancamentos[Meta tempo reparo],0,tbLancamentos[Tempo indisponível]-tbLancamentos[Meta tempo reparo]))</f>
        <v/>
      </c>
      <c r="K23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1" s="97"/>
      <c r="M231" s="98" t="str">
        <f>IF(tbLancamentos[[#This Row],[Equipamento]]="","",IFERROR(INDEX(CadEqu!$C$7:$F$506,MATCH(tbLancamentos[[#This Row],[Equipamento]],CadEqu!$F$7:$F$506,0),1),""))</f>
        <v/>
      </c>
    </row>
    <row r="232" spans="2:13" x14ac:dyDescent="0.25">
      <c r="B232" s="2">
        <f>COUNTA($B$6:B231)</f>
        <v>226</v>
      </c>
      <c r="C232" s="94"/>
      <c r="D232" s="16" t="str">
        <f>IFERROR(IF(C232="","",INDEX(CadEqu!$E$7:$F$506,MATCH(tbLancamentos[[#This Row],[Equipamento]],CadEqu!$F$7:$F$506,0),1)),"")</f>
        <v/>
      </c>
      <c r="E232" s="94"/>
      <c r="F232" s="95"/>
      <c r="G232" s="95"/>
      <c r="H232" s="96" t="str">
        <f ca="1">IF(tbLancamentos[Momento da falha]="","",IF(tbLancamentos[Momento do retorno]="",NOW()-tbLancamentos[Momento da falha],tbLancamentos[Momento do retorno]-tbLancamentos[Momento da falha]))</f>
        <v/>
      </c>
      <c r="I232" s="96" t="str">
        <f>IF(tbLancamentos[[#This Row],[Momento da falha]]="","",IFERROR(VLOOKUP(tbLancamentos[[#This Row],[Equipamento]],CadEqu!$F$7:$H$506,3,FALSE),""))</f>
        <v/>
      </c>
      <c r="J232" s="96" t="str">
        <f ca="1">IF(tbLancamentos[Tempo indisponível]="","",IF(tbLancamentos[Tempo indisponível]&lt;=tbLancamentos[Meta tempo reparo],0,tbLancamentos[Tempo indisponível]-tbLancamentos[Meta tempo reparo]))</f>
        <v/>
      </c>
      <c r="K23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2" s="97"/>
      <c r="M232" s="98" t="str">
        <f>IF(tbLancamentos[[#This Row],[Equipamento]]="","",IFERROR(INDEX(CadEqu!$C$7:$F$506,MATCH(tbLancamentos[[#This Row],[Equipamento]],CadEqu!$F$7:$F$506,0),1),""))</f>
        <v/>
      </c>
    </row>
    <row r="233" spans="2:13" x14ac:dyDescent="0.25">
      <c r="B233" s="2">
        <f>COUNTA($B$6:B232)</f>
        <v>227</v>
      </c>
      <c r="C233" s="94"/>
      <c r="D233" s="16" t="str">
        <f>IFERROR(IF(C233="","",INDEX(CadEqu!$E$7:$F$506,MATCH(tbLancamentos[[#This Row],[Equipamento]],CadEqu!$F$7:$F$506,0),1)),"")</f>
        <v/>
      </c>
      <c r="E233" s="94"/>
      <c r="F233" s="95"/>
      <c r="G233" s="95"/>
      <c r="H233" s="96" t="str">
        <f ca="1">IF(tbLancamentos[Momento da falha]="","",IF(tbLancamentos[Momento do retorno]="",NOW()-tbLancamentos[Momento da falha],tbLancamentos[Momento do retorno]-tbLancamentos[Momento da falha]))</f>
        <v/>
      </c>
      <c r="I233" s="96" t="str">
        <f>IF(tbLancamentos[[#This Row],[Momento da falha]]="","",IFERROR(VLOOKUP(tbLancamentos[[#This Row],[Equipamento]],CadEqu!$F$7:$H$506,3,FALSE),""))</f>
        <v/>
      </c>
      <c r="J233" s="96" t="str">
        <f ca="1">IF(tbLancamentos[Tempo indisponível]="","",IF(tbLancamentos[Tempo indisponível]&lt;=tbLancamentos[Meta tempo reparo],0,tbLancamentos[Tempo indisponível]-tbLancamentos[Meta tempo reparo]))</f>
        <v/>
      </c>
      <c r="K23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3" s="97"/>
      <c r="M233" s="98" t="str">
        <f>IF(tbLancamentos[[#This Row],[Equipamento]]="","",IFERROR(INDEX(CadEqu!$C$7:$F$506,MATCH(tbLancamentos[[#This Row],[Equipamento]],CadEqu!$F$7:$F$506,0),1),""))</f>
        <v/>
      </c>
    </row>
    <row r="234" spans="2:13" x14ac:dyDescent="0.25">
      <c r="B234" s="2">
        <f>COUNTA($B$6:B233)</f>
        <v>228</v>
      </c>
      <c r="C234" s="94"/>
      <c r="D234" s="16" t="str">
        <f>IFERROR(IF(C234="","",INDEX(CadEqu!$E$7:$F$506,MATCH(tbLancamentos[[#This Row],[Equipamento]],CadEqu!$F$7:$F$506,0),1)),"")</f>
        <v/>
      </c>
      <c r="E234" s="94"/>
      <c r="F234" s="95"/>
      <c r="G234" s="95"/>
      <c r="H234" s="96" t="str">
        <f ca="1">IF(tbLancamentos[Momento da falha]="","",IF(tbLancamentos[Momento do retorno]="",NOW()-tbLancamentos[Momento da falha],tbLancamentos[Momento do retorno]-tbLancamentos[Momento da falha]))</f>
        <v/>
      </c>
      <c r="I234" s="96" t="str">
        <f>IF(tbLancamentos[[#This Row],[Momento da falha]]="","",IFERROR(VLOOKUP(tbLancamentos[[#This Row],[Equipamento]],CadEqu!$F$7:$H$506,3,FALSE),""))</f>
        <v/>
      </c>
      <c r="J234" s="96" t="str">
        <f ca="1">IF(tbLancamentos[Tempo indisponível]="","",IF(tbLancamentos[Tempo indisponível]&lt;=tbLancamentos[Meta tempo reparo],0,tbLancamentos[Tempo indisponível]-tbLancamentos[Meta tempo reparo]))</f>
        <v/>
      </c>
      <c r="K23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4" s="97"/>
      <c r="M234" s="98" t="str">
        <f>IF(tbLancamentos[[#This Row],[Equipamento]]="","",IFERROR(INDEX(CadEqu!$C$7:$F$506,MATCH(tbLancamentos[[#This Row],[Equipamento]],CadEqu!$F$7:$F$506,0),1),""))</f>
        <v/>
      </c>
    </row>
    <row r="235" spans="2:13" x14ac:dyDescent="0.25">
      <c r="B235" s="2">
        <f>COUNTA($B$6:B234)</f>
        <v>229</v>
      </c>
      <c r="C235" s="94"/>
      <c r="D235" s="16" t="str">
        <f>IFERROR(IF(C235="","",INDEX(CadEqu!$E$7:$F$506,MATCH(tbLancamentos[[#This Row],[Equipamento]],CadEqu!$F$7:$F$506,0),1)),"")</f>
        <v/>
      </c>
      <c r="E235" s="94"/>
      <c r="F235" s="95"/>
      <c r="G235" s="95"/>
      <c r="H235" s="96" t="str">
        <f ca="1">IF(tbLancamentos[Momento da falha]="","",IF(tbLancamentos[Momento do retorno]="",NOW()-tbLancamentos[Momento da falha],tbLancamentos[Momento do retorno]-tbLancamentos[Momento da falha]))</f>
        <v/>
      </c>
      <c r="I235" s="96" t="str">
        <f>IF(tbLancamentos[[#This Row],[Momento da falha]]="","",IFERROR(VLOOKUP(tbLancamentos[[#This Row],[Equipamento]],CadEqu!$F$7:$H$506,3,FALSE),""))</f>
        <v/>
      </c>
      <c r="J235" s="96" t="str">
        <f ca="1">IF(tbLancamentos[Tempo indisponível]="","",IF(tbLancamentos[Tempo indisponível]&lt;=tbLancamentos[Meta tempo reparo],0,tbLancamentos[Tempo indisponível]-tbLancamentos[Meta tempo reparo]))</f>
        <v/>
      </c>
      <c r="K23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5" s="97"/>
      <c r="M235" s="98" t="str">
        <f>IF(tbLancamentos[[#This Row],[Equipamento]]="","",IFERROR(INDEX(CadEqu!$C$7:$F$506,MATCH(tbLancamentos[[#This Row],[Equipamento]],CadEqu!$F$7:$F$506,0),1),""))</f>
        <v/>
      </c>
    </row>
    <row r="236" spans="2:13" x14ac:dyDescent="0.25">
      <c r="B236" s="2">
        <f>COUNTA($B$6:B235)</f>
        <v>230</v>
      </c>
      <c r="C236" s="94"/>
      <c r="D236" s="16" t="str">
        <f>IFERROR(IF(C236="","",INDEX(CadEqu!$E$7:$F$506,MATCH(tbLancamentos[[#This Row],[Equipamento]],CadEqu!$F$7:$F$506,0),1)),"")</f>
        <v/>
      </c>
      <c r="E236" s="94"/>
      <c r="F236" s="95"/>
      <c r="G236" s="95"/>
      <c r="H236" s="96" t="str">
        <f ca="1">IF(tbLancamentos[Momento da falha]="","",IF(tbLancamentos[Momento do retorno]="",NOW()-tbLancamentos[Momento da falha],tbLancamentos[Momento do retorno]-tbLancamentos[Momento da falha]))</f>
        <v/>
      </c>
      <c r="I236" s="96" t="str">
        <f>IF(tbLancamentos[[#This Row],[Momento da falha]]="","",IFERROR(VLOOKUP(tbLancamentos[[#This Row],[Equipamento]],CadEqu!$F$7:$H$506,3,FALSE),""))</f>
        <v/>
      </c>
      <c r="J236" s="96" t="str">
        <f ca="1">IF(tbLancamentos[Tempo indisponível]="","",IF(tbLancamentos[Tempo indisponível]&lt;=tbLancamentos[Meta tempo reparo],0,tbLancamentos[Tempo indisponível]-tbLancamentos[Meta tempo reparo]))</f>
        <v/>
      </c>
      <c r="K23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6" s="97"/>
      <c r="M236" s="98" t="str">
        <f>IF(tbLancamentos[[#This Row],[Equipamento]]="","",IFERROR(INDEX(CadEqu!$C$7:$F$506,MATCH(tbLancamentos[[#This Row],[Equipamento]],CadEqu!$F$7:$F$506,0),1),""))</f>
        <v/>
      </c>
    </row>
    <row r="237" spans="2:13" x14ac:dyDescent="0.25">
      <c r="B237" s="2">
        <f>COUNTA($B$6:B236)</f>
        <v>231</v>
      </c>
      <c r="C237" s="94"/>
      <c r="D237" s="16" t="str">
        <f>IFERROR(IF(C237="","",INDEX(CadEqu!$E$7:$F$506,MATCH(tbLancamentos[[#This Row],[Equipamento]],CadEqu!$F$7:$F$506,0),1)),"")</f>
        <v/>
      </c>
      <c r="E237" s="94"/>
      <c r="F237" s="95"/>
      <c r="G237" s="95"/>
      <c r="H237" s="96" t="str">
        <f ca="1">IF(tbLancamentos[Momento da falha]="","",IF(tbLancamentos[Momento do retorno]="",NOW()-tbLancamentos[Momento da falha],tbLancamentos[Momento do retorno]-tbLancamentos[Momento da falha]))</f>
        <v/>
      </c>
      <c r="I237" s="96" t="str">
        <f>IF(tbLancamentos[[#This Row],[Momento da falha]]="","",IFERROR(VLOOKUP(tbLancamentos[[#This Row],[Equipamento]],CadEqu!$F$7:$H$506,3,FALSE),""))</f>
        <v/>
      </c>
      <c r="J237" s="96" t="str">
        <f ca="1">IF(tbLancamentos[Tempo indisponível]="","",IF(tbLancamentos[Tempo indisponível]&lt;=tbLancamentos[Meta tempo reparo],0,tbLancamentos[Tempo indisponível]-tbLancamentos[Meta tempo reparo]))</f>
        <v/>
      </c>
      <c r="K23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7" s="97"/>
      <c r="M237" s="98" t="str">
        <f>IF(tbLancamentos[[#This Row],[Equipamento]]="","",IFERROR(INDEX(CadEqu!$C$7:$F$506,MATCH(tbLancamentos[[#This Row],[Equipamento]],CadEqu!$F$7:$F$506,0),1),""))</f>
        <v/>
      </c>
    </row>
    <row r="238" spans="2:13" x14ac:dyDescent="0.25">
      <c r="B238" s="2">
        <f>COUNTA($B$6:B237)</f>
        <v>232</v>
      </c>
      <c r="C238" s="94"/>
      <c r="D238" s="16" t="str">
        <f>IFERROR(IF(C238="","",INDEX(CadEqu!$E$7:$F$506,MATCH(tbLancamentos[[#This Row],[Equipamento]],CadEqu!$F$7:$F$506,0),1)),"")</f>
        <v/>
      </c>
      <c r="E238" s="94"/>
      <c r="F238" s="95"/>
      <c r="G238" s="95"/>
      <c r="H238" s="96" t="str">
        <f ca="1">IF(tbLancamentos[Momento da falha]="","",IF(tbLancamentos[Momento do retorno]="",NOW()-tbLancamentos[Momento da falha],tbLancamentos[Momento do retorno]-tbLancamentos[Momento da falha]))</f>
        <v/>
      </c>
      <c r="I238" s="96" t="str">
        <f>IF(tbLancamentos[[#This Row],[Momento da falha]]="","",IFERROR(VLOOKUP(tbLancamentos[[#This Row],[Equipamento]],CadEqu!$F$7:$H$506,3,FALSE),""))</f>
        <v/>
      </c>
      <c r="J238" s="96" t="str">
        <f ca="1">IF(tbLancamentos[Tempo indisponível]="","",IF(tbLancamentos[Tempo indisponível]&lt;=tbLancamentos[Meta tempo reparo],0,tbLancamentos[Tempo indisponível]-tbLancamentos[Meta tempo reparo]))</f>
        <v/>
      </c>
      <c r="K23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8" s="97"/>
      <c r="M238" s="98" t="str">
        <f>IF(tbLancamentos[[#This Row],[Equipamento]]="","",IFERROR(INDEX(CadEqu!$C$7:$F$506,MATCH(tbLancamentos[[#This Row],[Equipamento]],CadEqu!$F$7:$F$506,0),1),""))</f>
        <v/>
      </c>
    </row>
    <row r="239" spans="2:13" x14ac:dyDescent="0.25">
      <c r="B239" s="2">
        <f>COUNTA($B$6:B238)</f>
        <v>233</v>
      </c>
      <c r="C239" s="94"/>
      <c r="D239" s="16" t="str">
        <f>IFERROR(IF(C239="","",INDEX(CadEqu!$E$7:$F$506,MATCH(tbLancamentos[[#This Row],[Equipamento]],CadEqu!$F$7:$F$506,0),1)),"")</f>
        <v/>
      </c>
      <c r="E239" s="94"/>
      <c r="F239" s="95"/>
      <c r="G239" s="95"/>
      <c r="H239" s="96" t="str">
        <f ca="1">IF(tbLancamentos[Momento da falha]="","",IF(tbLancamentos[Momento do retorno]="",NOW()-tbLancamentos[Momento da falha],tbLancamentos[Momento do retorno]-tbLancamentos[Momento da falha]))</f>
        <v/>
      </c>
      <c r="I239" s="96" t="str">
        <f>IF(tbLancamentos[[#This Row],[Momento da falha]]="","",IFERROR(VLOOKUP(tbLancamentos[[#This Row],[Equipamento]],CadEqu!$F$7:$H$506,3,FALSE),""))</f>
        <v/>
      </c>
      <c r="J239" s="96" t="str">
        <f ca="1">IF(tbLancamentos[Tempo indisponível]="","",IF(tbLancamentos[Tempo indisponível]&lt;=tbLancamentos[Meta tempo reparo],0,tbLancamentos[Tempo indisponível]-tbLancamentos[Meta tempo reparo]))</f>
        <v/>
      </c>
      <c r="K23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39" s="97"/>
      <c r="M239" s="98" t="str">
        <f>IF(tbLancamentos[[#This Row],[Equipamento]]="","",IFERROR(INDEX(CadEqu!$C$7:$F$506,MATCH(tbLancamentos[[#This Row],[Equipamento]],CadEqu!$F$7:$F$506,0),1),""))</f>
        <v/>
      </c>
    </row>
    <row r="240" spans="2:13" x14ac:dyDescent="0.25">
      <c r="B240" s="2">
        <f>COUNTA($B$6:B239)</f>
        <v>234</v>
      </c>
      <c r="C240" s="94"/>
      <c r="D240" s="16" t="str">
        <f>IFERROR(IF(C240="","",INDEX(CadEqu!$E$7:$F$506,MATCH(tbLancamentos[[#This Row],[Equipamento]],CadEqu!$F$7:$F$506,0),1)),"")</f>
        <v/>
      </c>
      <c r="E240" s="94"/>
      <c r="F240" s="95"/>
      <c r="G240" s="95"/>
      <c r="H240" s="96" t="str">
        <f ca="1">IF(tbLancamentos[Momento da falha]="","",IF(tbLancamentos[Momento do retorno]="",NOW()-tbLancamentos[Momento da falha],tbLancamentos[Momento do retorno]-tbLancamentos[Momento da falha]))</f>
        <v/>
      </c>
      <c r="I240" s="96" t="str">
        <f>IF(tbLancamentos[[#This Row],[Momento da falha]]="","",IFERROR(VLOOKUP(tbLancamentos[[#This Row],[Equipamento]],CadEqu!$F$7:$H$506,3,FALSE),""))</f>
        <v/>
      </c>
      <c r="J240" s="96" t="str">
        <f ca="1">IF(tbLancamentos[Tempo indisponível]="","",IF(tbLancamentos[Tempo indisponível]&lt;=tbLancamentos[Meta tempo reparo],0,tbLancamentos[Tempo indisponível]-tbLancamentos[Meta tempo reparo]))</f>
        <v/>
      </c>
      <c r="K24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0" s="97"/>
      <c r="M240" s="98" t="str">
        <f>IF(tbLancamentos[[#This Row],[Equipamento]]="","",IFERROR(INDEX(CadEqu!$C$7:$F$506,MATCH(tbLancamentos[[#This Row],[Equipamento]],CadEqu!$F$7:$F$506,0),1),""))</f>
        <v/>
      </c>
    </row>
    <row r="241" spans="2:13" x14ac:dyDescent="0.25">
      <c r="B241" s="2">
        <f>COUNTA($B$6:B240)</f>
        <v>235</v>
      </c>
      <c r="C241" s="94"/>
      <c r="D241" s="16" t="str">
        <f>IFERROR(IF(C241="","",INDEX(CadEqu!$E$7:$F$506,MATCH(tbLancamentos[[#This Row],[Equipamento]],CadEqu!$F$7:$F$506,0),1)),"")</f>
        <v/>
      </c>
      <c r="E241" s="94"/>
      <c r="F241" s="95"/>
      <c r="G241" s="95"/>
      <c r="H241" s="96" t="str">
        <f ca="1">IF(tbLancamentos[Momento da falha]="","",IF(tbLancamentos[Momento do retorno]="",NOW()-tbLancamentos[Momento da falha],tbLancamentos[Momento do retorno]-tbLancamentos[Momento da falha]))</f>
        <v/>
      </c>
      <c r="I241" s="96" t="str">
        <f>IF(tbLancamentos[[#This Row],[Momento da falha]]="","",IFERROR(VLOOKUP(tbLancamentos[[#This Row],[Equipamento]],CadEqu!$F$7:$H$506,3,FALSE),""))</f>
        <v/>
      </c>
      <c r="J241" s="96" t="str">
        <f ca="1">IF(tbLancamentos[Tempo indisponível]="","",IF(tbLancamentos[Tempo indisponível]&lt;=tbLancamentos[Meta tempo reparo],0,tbLancamentos[Tempo indisponível]-tbLancamentos[Meta tempo reparo]))</f>
        <v/>
      </c>
      <c r="K24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1" s="97"/>
      <c r="M241" s="98" t="str">
        <f>IF(tbLancamentos[[#This Row],[Equipamento]]="","",IFERROR(INDEX(CadEqu!$C$7:$F$506,MATCH(tbLancamentos[[#This Row],[Equipamento]],CadEqu!$F$7:$F$506,0),1),""))</f>
        <v/>
      </c>
    </row>
    <row r="242" spans="2:13" x14ac:dyDescent="0.25">
      <c r="B242" s="2">
        <f>COUNTA($B$6:B241)</f>
        <v>236</v>
      </c>
      <c r="C242" s="94"/>
      <c r="D242" s="16" t="str">
        <f>IFERROR(IF(C242="","",INDEX(CadEqu!$E$7:$F$506,MATCH(tbLancamentos[[#This Row],[Equipamento]],CadEqu!$F$7:$F$506,0),1)),"")</f>
        <v/>
      </c>
      <c r="E242" s="94"/>
      <c r="F242" s="95"/>
      <c r="G242" s="95"/>
      <c r="H242" s="96" t="str">
        <f ca="1">IF(tbLancamentos[Momento da falha]="","",IF(tbLancamentos[Momento do retorno]="",NOW()-tbLancamentos[Momento da falha],tbLancamentos[Momento do retorno]-tbLancamentos[Momento da falha]))</f>
        <v/>
      </c>
      <c r="I242" s="96" t="str">
        <f>IF(tbLancamentos[[#This Row],[Momento da falha]]="","",IFERROR(VLOOKUP(tbLancamentos[[#This Row],[Equipamento]],CadEqu!$F$7:$H$506,3,FALSE),""))</f>
        <v/>
      </c>
      <c r="J242" s="96" t="str">
        <f ca="1">IF(tbLancamentos[Tempo indisponível]="","",IF(tbLancamentos[Tempo indisponível]&lt;=tbLancamentos[Meta tempo reparo],0,tbLancamentos[Tempo indisponível]-tbLancamentos[Meta tempo reparo]))</f>
        <v/>
      </c>
      <c r="K24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2" s="97"/>
      <c r="M242" s="98" t="str">
        <f>IF(tbLancamentos[[#This Row],[Equipamento]]="","",IFERROR(INDEX(CadEqu!$C$7:$F$506,MATCH(tbLancamentos[[#This Row],[Equipamento]],CadEqu!$F$7:$F$506,0),1),""))</f>
        <v/>
      </c>
    </row>
    <row r="243" spans="2:13" x14ac:dyDescent="0.25">
      <c r="B243" s="2">
        <f>COUNTA($B$6:B242)</f>
        <v>237</v>
      </c>
      <c r="C243" s="94"/>
      <c r="D243" s="16" t="str">
        <f>IFERROR(IF(C243="","",INDEX(CadEqu!$E$7:$F$506,MATCH(tbLancamentos[[#This Row],[Equipamento]],CadEqu!$F$7:$F$506,0),1)),"")</f>
        <v/>
      </c>
      <c r="E243" s="94"/>
      <c r="F243" s="95"/>
      <c r="G243" s="95"/>
      <c r="H243" s="96" t="str">
        <f ca="1">IF(tbLancamentos[Momento da falha]="","",IF(tbLancamentos[Momento do retorno]="",NOW()-tbLancamentos[Momento da falha],tbLancamentos[Momento do retorno]-tbLancamentos[Momento da falha]))</f>
        <v/>
      </c>
      <c r="I243" s="96" t="str">
        <f>IF(tbLancamentos[[#This Row],[Momento da falha]]="","",IFERROR(VLOOKUP(tbLancamentos[[#This Row],[Equipamento]],CadEqu!$F$7:$H$506,3,FALSE),""))</f>
        <v/>
      </c>
      <c r="J243" s="96" t="str">
        <f ca="1">IF(tbLancamentos[Tempo indisponível]="","",IF(tbLancamentos[Tempo indisponível]&lt;=tbLancamentos[Meta tempo reparo],0,tbLancamentos[Tempo indisponível]-tbLancamentos[Meta tempo reparo]))</f>
        <v/>
      </c>
      <c r="K24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3" s="97"/>
      <c r="M243" s="98" t="str">
        <f>IF(tbLancamentos[[#This Row],[Equipamento]]="","",IFERROR(INDEX(CadEqu!$C$7:$F$506,MATCH(tbLancamentos[[#This Row],[Equipamento]],CadEqu!$F$7:$F$506,0),1),""))</f>
        <v/>
      </c>
    </row>
    <row r="244" spans="2:13" x14ac:dyDescent="0.25">
      <c r="B244" s="2">
        <f>COUNTA($B$6:B243)</f>
        <v>238</v>
      </c>
      <c r="C244" s="94"/>
      <c r="D244" s="16" t="str">
        <f>IFERROR(IF(C244="","",INDEX(CadEqu!$E$7:$F$506,MATCH(tbLancamentos[[#This Row],[Equipamento]],CadEqu!$F$7:$F$506,0),1)),"")</f>
        <v/>
      </c>
      <c r="E244" s="94"/>
      <c r="F244" s="95"/>
      <c r="G244" s="95"/>
      <c r="H244" s="96" t="str">
        <f ca="1">IF(tbLancamentos[Momento da falha]="","",IF(tbLancamentos[Momento do retorno]="",NOW()-tbLancamentos[Momento da falha],tbLancamentos[Momento do retorno]-tbLancamentos[Momento da falha]))</f>
        <v/>
      </c>
      <c r="I244" s="96" t="str">
        <f>IF(tbLancamentos[[#This Row],[Momento da falha]]="","",IFERROR(VLOOKUP(tbLancamentos[[#This Row],[Equipamento]],CadEqu!$F$7:$H$506,3,FALSE),""))</f>
        <v/>
      </c>
      <c r="J244" s="96" t="str">
        <f ca="1">IF(tbLancamentos[Tempo indisponível]="","",IF(tbLancamentos[Tempo indisponível]&lt;=tbLancamentos[Meta tempo reparo],0,tbLancamentos[Tempo indisponível]-tbLancamentos[Meta tempo reparo]))</f>
        <v/>
      </c>
      <c r="K24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4" s="97"/>
      <c r="M244" s="98" t="str">
        <f>IF(tbLancamentos[[#This Row],[Equipamento]]="","",IFERROR(INDEX(CadEqu!$C$7:$F$506,MATCH(tbLancamentos[[#This Row],[Equipamento]],CadEqu!$F$7:$F$506,0),1),""))</f>
        <v/>
      </c>
    </row>
    <row r="245" spans="2:13" x14ac:dyDescent="0.25">
      <c r="B245" s="2">
        <f>COUNTA($B$6:B244)</f>
        <v>239</v>
      </c>
      <c r="C245" s="94"/>
      <c r="D245" s="16" t="str">
        <f>IFERROR(IF(C245="","",INDEX(CadEqu!$E$7:$F$506,MATCH(tbLancamentos[[#This Row],[Equipamento]],CadEqu!$F$7:$F$506,0),1)),"")</f>
        <v/>
      </c>
      <c r="E245" s="94"/>
      <c r="F245" s="95"/>
      <c r="G245" s="95"/>
      <c r="H245" s="96" t="str">
        <f ca="1">IF(tbLancamentos[Momento da falha]="","",IF(tbLancamentos[Momento do retorno]="",NOW()-tbLancamentos[Momento da falha],tbLancamentos[Momento do retorno]-tbLancamentos[Momento da falha]))</f>
        <v/>
      </c>
      <c r="I245" s="96" t="str">
        <f>IF(tbLancamentos[[#This Row],[Momento da falha]]="","",IFERROR(VLOOKUP(tbLancamentos[[#This Row],[Equipamento]],CadEqu!$F$7:$H$506,3,FALSE),""))</f>
        <v/>
      </c>
      <c r="J245" s="96" t="str">
        <f ca="1">IF(tbLancamentos[Tempo indisponível]="","",IF(tbLancamentos[Tempo indisponível]&lt;=tbLancamentos[Meta tempo reparo],0,tbLancamentos[Tempo indisponível]-tbLancamentos[Meta tempo reparo]))</f>
        <v/>
      </c>
      <c r="K24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5" s="97"/>
      <c r="M245" s="98" t="str">
        <f>IF(tbLancamentos[[#This Row],[Equipamento]]="","",IFERROR(INDEX(CadEqu!$C$7:$F$506,MATCH(tbLancamentos[[#This Row],[Equipamento]],CadEqu!$F$7:$F$506,0),1),""))</f>
        <v/>
      </c>
    </row>
    <row r="246" spans="2:13" x14ac:dyDescent="0.25">
      <c r="B246" s="2">
        <f>COUNTA($B$6:B245)</f>
        <v>240</v>
      </c>
      <c r="C246" s="94"/>
      <c r="D246" s="16" t="str">
        <f>IFERROR(IF(C246="","",INDEX(CadEqu!$E$7:$F$506,MATCH(tbLancamentos[[#This Row],[Equipamento]],CadEqu!$F$7:$F$506,0),1)),"")</f>
        <v/>
      </c>
      <c r="E246" s="94"/>
      <c r="F246" s="95"/>
      <c r="G246" s="95"/>
      <c r="H246" s="96" t="str">
        <f ca="1">IF(tbLancamentos[Momento da falha]="","",IF(tbLancamentos[Momento do retorno]="",NOW()-tbLancamentos[Momento da falha],tbLancamentos[Momento do retorno]-tbLancamentos[Momento da falha]))</f>
        <v/>
      </c>
      <c r="I246" s="96" t="str">
        <f>IF(tbLancamentos[[#This Row],[Momento da falha]]="","",IFERROR(VLOOKUP(tbLancamentos[[#This Row],[Equipamento]],CadEqu!$F$7:$H$506,3,FALSE),""))</f>
        <v/>
      </c>
      <c r="J246" s="96" t="str">
        <f ca="1">IF(tbLancamentos[Tempo indisponível]="","",IF(tbLancamentos[Tempo indisponível]&lt;=tbLancamentos[Meta tempo reparo],0,tbLancamentos[Tempo indisponível]-tbLancamentos[Meta tempo reparo]))</f>
        <v/>
      </c>
      <c r="K24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6" s="97"/>
      <c r="M246" s="98" t="str">
        <f>IF(tbLancamentos[[#This Row],[Equipamento]]="","",IFERROR(INDEX(CadEqu!$C$7:$F$506,MATCH(tbLancamentos[[#This Row],[Equipamento]],CadEqu!$F$7:$F$506,0),1),""))</f>
        <v/>
      </c>
    </row>
    <row r="247" spans="2:13" x14ac:dyDescent="0.25">
      <c r="B247" s="2">
        <f>COUNTA($B$6:B246)</f>
        <v>241</v>
      </c>
      <c r="C247" s="94"/>
      <c r="D247" s="16" t="str">
        <f>IFERROR(IF(C247="","",INDEX(CadEqu!$E$7:$F$506,MATCH(tbLancamentos[[#This Row],[Equipamento]],CadEqu!$F$7:$F$506,0),1)),"")</f>
        <v/>
      </c>
      <c r="E247" s="94"/>
      <c r="F247" s="95"/>
      <c r="G247" s="95"/>
      <c r="H247" s="96" t="str">
        <f ca="1">IF(tbLancamentos[Momento da falha]="","",IF(tbLancamentos[Momento do retorno]="",NOW()-tbLancamentos[Momento da falha],tbLancamentos[Momento do retorno]-tbLancamentos[Momento da falha]))</f>
        <v/>
      </c>
      <c r="I247" s="96" t="str">
        <f>IF(tbLancamentos[[#This Row],[Momento da falha]]="","",IFERROR(VLOOKUP(tbLancamentos[[#This Row],[Equipamento]],CadEqu!$F$7:$H$506,3,FALSE),""))</f>
        <v/>
      </c>
      <c r="J247" s="96" t="str">
        <f ca="1">IF(tbLancamentos[Tempo indisponível]="","",IF(tbLancamentos[Tempo indisponível]&lt;=tbLancamentos[Meta tempo reparo],0,tbLancamentos[Tempo indisponível]-tbLancamentos[Meta tempo reparo]))</f>
        <v/>
      </c>
      <c r="K24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7" s="97"/>
      <c r="M247" s="98" t="str">
        <f>IF(tbLancamentos[[#This Row],[Equipamento]]="","",IFERROR(INDEX(CadEqu!$C$7:$F$506,MATCH(tbLancamentos[[#This Row],[Equipamento]],CadEqu!$F$7:$F$506,0),1),""))</f>
        <v/>
      </c>
    </row>
    <row r="248" spans="2:13" x14ac:dyDescent="0.25">
      <c r="B248" s="2">
        <f>COUNTA($B$6:B247)</f>
        <v>242</v>
      </c>
      <c r="C248" s="94"/>
      <c r="D248" s="16" t="str">
        <f>IFERROR(IF(C248="","",INDEX(CadEqu!$E$7:$F$506,MATCH(tbLancamentos[[#This Row],[Equipamento]],CadEqu!$F$7:$F$506,0),1)),"")</f>
        <v/>
      </c>
      <c r="E248" s="94"/>
      <c r="F248" s="95"/>
      <c r="G248" s="95"/>
      <c r="H248" s="96" t="str">
        <f ca="1">IF(tbLancamentos[Momento da falha]="","",IF(tbLancamentos[Momento do retorno]="",NOW()-tbLancamentos[Momento da falha],tbLancamentos[Momento do retorno]-tbLancamentos[Momento da falha]))</f>
        <v/>
      </c>
      <c r="I248" s="96" t="str">
        <f>IF(tbLancamentos[[#This Row],[Momento da falha]]="","",IFERROR(VLOOKUP(tbLancamentos[[#This Row],[Equipamento]],CadEqu!$F$7:$H$506,3,FALSE),""))</f>
        <v/>
      </c>
      <c r="J248" s="96" t="str">
        <f ca="1">IF(tbLancamentos[Tempo indisponível]="","",IF(tbLancamentos[Tempo indisponível]&lt;=tbLancamentos[Meta tempo reparo],0,tbLancamentos[Tempo indisponível]-tbLancamentos[Meta tempo reparo]))</f>
        <v/>
      </c>
      <c r="K24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8" s="97"/>
      <c r="M248" s="98" t="str">
        <f>IF(tbLancamentos[[#This Row],[Equipamento]]="","",IFERROR(INDEX(CadEqu!$C$7:$F$506,MATCH(tbLancamentos[[#This Row],[Equipamento]],CadEqu!$F$7:$F$506,0),1),""))</f>
        <v/>
      </c>
    </row>
    <row r="249" spans="2:13" x14ac:dyDescent="0.25">
      <c r="B249" s="2">
        <f>COUNTA($B$6:B248)</f>
        <v>243</v>
      </c>
      <c r="C249" s="94"/>
      <c r="D249" s="16" t="str">
        <f>IFERROR(IF(C249="","",INDEX(CadEqu!$E$7:$F$506,MATCH(tbLancamentos[[#This Row],[Equipamento]],CadEqu!$F$7:$F$506,0),1)),"")</f>
        <v/>
      </c>
      <c r="E249" s="94"/>
      <c r="F249" s="95"/>
      <c r="G249" s="95"/>
      <c r="H249" s="96" t="str">
        <f ca="1">IF(tbLancamentos[Momento da falha]="","",IF(tbLancamentos[Momento do retorno]="",NOW()-tbLancamentos[Momento da falha],tbLancamentos[Momento do retorno]-tbLancamentos[Momento da falha]))</f>
        <v/>
      </c>
      <c r="I249" s="96" t="str">
        <f>IF(tbLancamentos[[#This Row],[Momento da falha]]="","",IFERROR(VLOOKUP(tbLancamentos[[#This Row],[Equipamento]],CadEqu!$F$7:$H$506,3,FALSE),""))</f>
        <v/>
      </c>
      <c r="J249" s="96" t="str">
        <f ca="1">IF(tbLancamentos[Tempo indisponível]="","",IF(tbLancamentos[Tempo indisponível]&lt;=tbLancamentos[Meta tempo reparo],0,tbLancamentos[Tempo indisponível]-tbLancamentos[Meta tempo reparo]))</f>
        <v/>
      </c>
      <c r="K24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49" s="97"/>
      <c r="M249" s="98" t="str">
        <f>IF(tbLancamentos[[#This Row],[Equipamento]]="","",IFERROR(INDEX(CadEqu!$C$7:$F$506,MATCH(tbLancamentos[[#This Row],[Equipamento]],CadEqu!$F$7:$F$506,0),1),""))</f>
        <v/>
      </c>
    </row>
    <row r="250" spans="2:13" x14ac:dyDescent="0.25">
      <c r="B250" s="2">
        <f>COUNTA($B$6:B249)</f>
        <v>244</v>
      </c>
      <c r="C250" s="94"/>
      <c r="D250" s="16" t="str">
        <f>IFERROR(IF(C250="","",INDEX(CadEqu!$E$7:$F$506,MATCH(tbLancamentos[[#This Row],[Equipamento]],CadEqu!$F$7:$F$506,0),1)),"")</f>
        <v/>
      </c>
      <c r="E250" s="94"/>
      <c r="F250" s="95"/>
      <c r="G250" s="95"/>
      <c r="H250" s="96" t="str">
        <f ca="1">IF(tbLancamentos[Momento da falha]="","",IF(tbLancamentos[Momento do retorno]="",NOW()-tbLancamentos[Momento da falha],tbLancamentos[Momento do retorno]-tbLancamentos[Momento da falha]))</f>
        <v/>
      </c>
      <c r="I250" s="96" t="str">
        <f>IF(tbLancamentos[[#This Row],[Momento da falha]]="","",IFERROR(VLOOKUP(tbLancamentos[[#This Row],[Equipamento]],CadEqu!$F$7:$H$506,3,FALSE),""))</f>
        <v/>
      </c>
      <c r="J250" s="96" t="str">
        <f ca="1">IF(tbLancamentos[Tempo indisponível]="","",IF(tbLancamentos[Tempo indisponível]&lt;=tbLancamentos[Meta tempo reparo],0,tbLancamentos[Tempo indisponível]-tbLancamentos[Meta tempo reparo]))</f>
        <v/>
      </c>
      <c r="K25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0" s="97"/>
      <c r="M250" s="98" t="str">
        <f>IF(tbLancamentos[[#This Row],[Equipamento]]="","",IFERROR(INDEX(CadEqu!$C$7:$F$506,MATCH(tbLancamentos[[#This Row],[Equipamento]],CadEqu!$F$7:$F$506,0),1),""))</f>
        <v/>
      </c>
    </row>
    <row r="251" spans="2:13" x14ac:dyDescent="0.25">
      <c r="B251" s="2">
        <f>COUNTA($B$6:B250)</f>
        <v>245</v>
      </c>
      <c r="C251" s="94"/>
      <c r="D251" s="16" t="str">
        <f>IFERROR(IF(C251="","",INDEX(CadEqu!$E$7:$F$506,MATCH(tbLancamentos[[#This Row],[Equipamento]],CadEqu!$F$7:$F$506,0),1)),"")</f>
        <v/>
      </c>
      <c r="E251" s="94"/>
      <c r="F251" s="95"/>
      <c r="G251" s="95"/>
      <c r="H251" s="96" t="str">
        <f ca="1">IF(tbLancamentos[Momento da falha]="","",IF(tbLancamentos[Momento do retorno]="",NOW()-tbLancamentos[Momento da falha],tbLancamentos[Momento do retorno]-tbLancamentos[Momento da falha]))</f>
        <v/>
      </c>
      <c r="I251" s="96" t="str">
        <f>IF(tbLancamentos[[#This Row],[Momento da falha]]="","",IFERROR(VLOOKUP(tbLancamentos[[#This Row],[Equipamento]],CadEqu!$F$7:$H$506,3,FALSE),""))</f>
        <v/>
      </c>
      <c r="J251" s="96" t="str">
        <f ca="1">IF(tbLancamentos[Tempo indisponível]="","",IF(tbLancamentos[Tempo indisponível]&lt;=tbLancamentos[Meta tempo reparo],0,tbLancamentos[Tempo indisponível]-tbLancamentos[Meta tempo reparo]))</f>
        <v/>
      </c>
      <c r="K25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1" s="97"/>
      <c r="M251" s="98" t="str">
        <f>IF(tbLancamentos[[#This Row],[Equipamento]]="","",IFERROR(INDEX(CadEqu!$C$7:$F$506,MATCH(tbLancamentos[[#This Row],[Equipamento]],CadEqu!$F$7:$F$506,0),1),""))</f>
        <v/>
      </c>
    </row>
    <row r="252" spans="2:13" x14ac:dyDescent="0.25">
      <c r="B252" s="2">
        <f>COUNTA($B$6:B251)</f>
        <v>246</v>
      </c>
      <c r="C252" s="94"/>
      <c r="D252" s="16" t="str">
        <f>IFERROR(IF(C252="","",INDEX(CadEqu!$E$7:$F$506,MATCH(tbLancamentos[[#This Row],[Equipamento]],CadEqu!$F$7:$F$506,0),1)),"")</f>
        <v/>
      </c>
      <c r="E252" s="94"/>
      <c r="F252" s="95"/>
      <c r="G252" s="95"/>
      <c r="H252" s="96" t="str">
        <f ca="1">IF(tbLancamentos[Momento da falha]="","",IF(tbLancamentos[Momento do retorno]="",NOW()-tbLancamentos[Momento da falha],tbLancamentos[Momento do retorno]-tbLancamentos[Momento da falha]))</f>
        <v/>
      </c>
      <c r="I252" s="96" t="str">
        <f>IF(tbLancamentos[[#This Row],[Momento da falha]]="","",IFERROR(VLOOKUP(tbLancamentos[[#This Row],[Equipamento]],CadEqu!$F$7:$H$506,3,FALSE),""))</f>
        <v/>
      </c>
      <c r="J252" s="96" t="str">
        <f ca="1">IF(tbLancamentos[Tempo indisponível]="","",IF(tbLancamentos[Tempo indisponível]&lt;=tbLancamentos[Meta tempo reparo],0,tbLancamentos[Tempo indisponível]-tbLancamentos[Meta tempo reparo]))</f>
        <v/>
      </c>
      <c r="K25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2" s="97"/>
      <c r="M252" s="98" t="str">
        <f>IF(tbLancamentos[[#This Row],[Equipamento]]="","",IFERROR(INDEX(CadEqu!$C$7:$F$506,MATCH(tbLancamentos[[#This Row],[Equipamento]],CadEqu!$F$7:$F$506,0),1),""))</f>
        <v/>
      </c>
    </row>
    <row r="253" spans="2:13" x14ac:dyDescent="0.25">
      <c r="B253" s="2">
        <f>COUNTA($B$6:B252)</f>
        <v>247</v>
      </c>
      <c r="C253" s="94"/>
      <c r="D253" s="16" t="str">
        <f>IFERROR(IF(C253="","",INDEX(CadEqu!$E$7:$F$506,MATCH(tbLancamentos[[#This Row],[Equipamento]],CadEqu!$F$7:$F$506,0),1)),"")</f>
        <v/>
      </c>
      <c r="E253" s="94"/>
      <c r="F253" s="95"/>
      <c r="G253" s="95"/>
      <c r="H253" s="96" t="str">
        <f ca="1">IF(tbLancamentos[Momento da falha]="","",IF(tbLancamentos[Momento do retorno]="",NOW()-tbLancamentos[Momento da falha],tbLancamentos[Momento do retorno]-tbLancamentos[Momento da falha]))</f>
        <v/>
      </c>
      <c r="I253" s="96" t="str">
        <f>IF(tbLancamentos[[#This Row],[Momento da falha]]="","",IFERROR(VLOOKUP(tbLancamentos[[#This Row],[Equipamento]],CadEqu!$F$7:$H$506,3,FALSE),""))</f>
        <v/>
      </c>
      <c r="J253" s="96" t="str">
        <f ca="1">IF(tbLancamentos[Tempo indisponível]="","",IF(tbLancamentos[Tempo indisponível]&lt;=tbLancamentos[Meta tempo reparo],0,tbLancamentos[Tempo indisponível]-tbLancamentos[Meta tempo reparo]))</f>
        <v/>
      </c>
      <c r="K25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3" s="97"/>
      <c r="M253" s="98" t="str">
        <f>IF(tbLancamentos[[#This Row],[Equipamento]]="","",IFERROR(INDEX(CadEqu!$C$7:$F$506,MATCH(tbLancamentos[[#This Row],[Equipamento]],CadEqu!$F$7:$F$506,0),1),""))</f>
        <v/>
      </c>
    </row>
    <row r="254" spans="2:13" x14ac:dyDescent="0.25">
      <c r="B254" s="2">
        <f>COUNTA($B$6:B253)</f>
        <v>248</v>
      </c>
      <c r="C254" s="94"/>
      <c r="D254" s="16" t="str">
        <f>IFERROR(IF(C254="","",INDEX(CadEqu!$E$7:$F$506,MATCH(tbLancamentos[[#This Row],[Equipamento]],CadEqu!$F$7:$F$506,0),1)),"")</f>
        <v/>
      </c>
      <c r="E254" s="94"/>
      <c r="F254" s="95"/>
      <c r="G254" s="95"/>
      <c r="H254" s="96" t="str">
        <f ca="1">IF(tbLancamentos[Momento da falha]="","",IF(tbLancamentos[Momento do retorno]="",NOW()-tbLancamentos[Momento da falha],tbLancamentos[Momento do retorno]-tbLancamentos[Momento da falha]))</f>
        <v/>
      </c>
      <c r="I254" s="96" t="str">
        <f>IF(tbLancamentos[[#This Row],[Momento da falha]]="","",IFERROR(VLOOKUP(tbLancamentos[[#This Row],[Equipamento]],CadEqu!$F$7:$H$506,3,FALSE),""))</f>
        <v/>
      </c>
      <c r="J254" s="96" t="str">
        <f ca="1">IF(tbLancamentos[Tempo indisponível]="","",IF(tbLancamentos[Tempo indisponível]&lt;=tbLancamentos[Meta tempo reparo],0,tbLancamentos[Tempo indisponível]-tbLancamentos[Meta tempo reparo]))</f>
        <v/>
      </c>
      <c r="K25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4" s="97"/>
      <c r="M254" s="98" t="str">
        <f>IF(tbLancamentos[[#This Row],[Equipamento]]="","",IFERROR(INDEX(CadEqu!$C$7:$F$506,MATCH(tbLancamentos[[#This Row],[Equipamento]],CadEqu!$F$7:$F$506,0),1),""))</f>
        <v/>
      </c>
    </row>
    <row r="255" spans="2:13" x14ac:dyDescent="0.25">
      <c r="B255" s="2">
        <f>COUNTA($B$6:B254)</f>
        <v>249</v>
      </c>
      <c r="C255" s="94"/>
      <c r="D255" s="16" t="str">
        <f>IFERROR(IF(C255="","",INDEX(CadEqu!$E$7:$F$506,MATCH(tbLancamentos[[#This Row],[Equipamento]],CadEqu!$F$7:$F$506,0),1)),"")</f>
        <v/>
      </c>
      <c r="E255" s="94"/>
      <c r="F255" s="95"/>
      <c r="G255" s="95"/>
      <c r="H255" s="96" t="str">
        <f ca="1">IF(tbLancamentos[Momento da falha]="","",IF(tbLancamentos[Momento do retorno]="",NOW()-tbLancamentos[Momento da falha],tbLancamentos[Momento do retorno]-tbLancamentos[Momento da falha]))</f>
        <v/>
      </c>
      <c r="I255" s="96" t="str">
        <f>IF(tbLancamentos[[#This Row],[Momento da falha]]="","",IFERROR(VLOOKUP(tbLancamentos[[#This Row],[Equipamento]],CadEqu!$F$7:$H$506,3,FALSE),""))</f>
        <v/>
      </c>
      <c r="J255" s="96" t="str">
        <f ca="1">IF(tbLancamentos[Tempo indisponível]="","",IF(tbLancamentos[Tempo indisponível]&lt;=tbLancamentos[Meta tempo reparo],0,tbLancamentos[Tempo indisponível]-tbLancamentos[Meta tempo reparo]))</f>
        <v/>
      </c>
      <c r="K25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5" s="97"/>
      <c r="M255" s="98" t="str">
        <f>IF(tbLancamentos[[#This Row],[Equipamento]]="","",IFERROR(INDEX(CadEqu!$C$7:$F$506,MATCH(tbLancamentos[[#This Row],[Equipamento]],CadEqu!$F$7:$F$506,0),1),""))</f>
        <v/>
      </c>
    </row>
    <row r="256" spans="2:13" x14ac:dyDescent="0.25">
      <c r="B256" s="2">
        <f>COUNTA($B$6:B255)</f>
        <v>250</v>
      </c>
      <c r="C256" s="94"/>
      <c r="D256" s="16" t="str">
        <f>IFERROR(IF(C256="","",INDEX(CadEqu!$E$7:$F$506,MATCH(tbLancamentos[[#This Row],[Equipamento]],CadEqu!$F$7:$F$506,0),1)),"")</f>
        <v/>
      </c>
      <c r="E256" s="94"/>
      <c r="F256" s="95"/>
      <c r="G256" s="95"/>
      <c r="H256" s="96" t="str">
        <f ca="1">IF(tbLancamentos[Momento da falha]="","",IF(tbLancamentos[Momento do retorno]="",NOW()-tbLancamentos[Momento da falha],tbLancamentos[Momento do retorno]-tbLancamentos[Momento da falha]))</f>
        <v/>
      </c>
      <c r="I256" s="96" t="str">
        <f>IF(tbLancamentos[[#This Row],[Momento da falha]]="","",IFERROR(VLOOKUP(tbLancamentos[[#This Row],[Equipamento]],CadEqu!$F$7:$H$506,3,FALSE),""))</f>
        <v/>
      </c>
      <c r="J256" s="96" t="str">
        <f ca="1">IF(tbLancamentos[Tempo indisponível]="","",IF(tbLancamentos[Tempo indisponível]&lt;=tbLancamentos[Meta tempo reparo],0,tbLancamentos[Tempo indisponível]-tbLancamentos[Meta tempo reparo]))</f>
        <v/>
      </c>
      <c r="K25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6" s="97"/>
      <c r="M256" s="98" t="str">
        <f>IF(tbLancamentos[[#This Row],[Equipamento]]="","",IFERROR(INDEX(CadEqu!$C$7:$F$506,MATCH(tbLancamentos[[#This Row],[Equipamento]],CadEqu!$F$7:$F$506,0),1),""))</f>
        <v/>
      </c>
    </row>
    <row r="257" spans="2:13" x14ac:dyDescent="0.25">
      <c r="B257" s="2">
        <f>COUNTA($B$6:B256)</f>
        <v>251</v>
      </c>
      <c r="C257" s="94"/>
      <c r="D257" s="16" t="str">
        <f>IFERROR(IF(C257="","",INDEX(CadEqu!$E$7:$F$506,MATCH(tbLancamentos[[#This Row],[Equipamento]],CadEqu!$F$7:$F$506,0),1)),"")</f>
        <v/>
      </c>
      <c r="E257" s="94"/>
      <c r="F257" s="95"/>
      <c r="G257" s="95"/>
      <c r="H257" s="96" t="str">
        <f ca="1">IF(tbLancamentos[Momento da falha]="","",IF(tbLancamentos[Momento do retorno]="",NOW()-tbLancamentos[Momento da falha],tbLancamentos[Momento do retorno]-tbLancamentos[Momento da falha]))</f>
        <v/>
      </c>
      <c r="I257" s="96" t="str">
        <f>IF(tbLancamentos[[#This Row],[Momento da falha]]="","",IFERROR(VLOOKUP(tbLancamentos[[#This Row],[Equipamento]],CadEqu!$F$7:$H$506,3,FALSE),""))</f>
        <v/>
      </c>
      <c r="J257" s="96" t="str">
        <f ca="1">IF(tbLancamentos[Tempo indisponível]="","",IF(tbLancamentos[Tempo indisponível]&lt;=tbLancamentos[Meta tempo reparo],0,tbLancamentos[Tempo indisponível]-tbLancamentos[Meta tempo reparo]))</f>
        <v/>
      </c>
      <c r="K257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7" s="97"/>
      <c r="M257" s="98" t="str">
        <f>IF(tbLancamentos[[#This Row],[Equipamento]]="","",IFERROR(INDEX(CadEqu!$C$7:$F$506,MATCH(tbLancamentos[[#This Row],[Equipamento]],CadEqu!$F$7:$F$506,0),1),""))</f>
        <v/>
      </c>
    </row>
    <row r="258" spans="2:13" x14ac:dyDescent="0.25">
      <c r="B258" s="2">
        <f>COUNTA($B$6:B257)</f>
        <v>252</v>
      </c>
      <c r="C258" s="94"/>
      <c r="D258" s="16" t="str">
        <f>IFERROR(IF(C258="","",INDEX(CadEqu!$E$7:$F$506,MATCH(tbLancamentos[[#This Row],[Equipamento]],CadEqu!$F$7:$F$506,0),1)),"")</f>
        <v/>
      </c>
      <c r="E258" s="94"/>
      <c r="F258" s="95"/>
      <c r="G258" s="95"/>
      <c r="H258" s="96" t="str">
        <f ca="1">IF(tbLancamentos[Momento da falha]="","",IF(tbLancamentos[Momento do retorno]="",NOW()-tbLancamentos[Momento da falha],tbLancamentos[Momento do retorno]-tbLancamentos[Momento da falha]))</f>
        <v/>
      </c>
      <c r="I258" s="96" t="str">
        <f>IF(tbLancamentos[[#This Row],[Momento da falha]]="","",IFERROR(VLOOKUP(tbLancamentos[[#This Row],[Equipamento]],CadEqu!$F$7:$H$506,3,FALSE),""))</f>
        <v/>
      </c>
      <c r="J258" s="96" t="str">
        <f ca="1">IF(tbLancamentos[Tempo indisponível]="","",IF(tbLancamentos[Tempo indisponível]&lt;=tbLancamentos[Meta tempo reparo],0,tbLancamentos[Tempo indisponível]-tbLancamentos[Meta tempo reparo]))</f>
        <v/>
      </c>
      <c r="K258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8" s="97"/>
      <c r="M258" s="98" t="str">
        <f>IF(tbLancamentos[[#This Row],[Equipamento]]="","",IFERROR(INDEX(CadEqu!$C$7:$F$506,MATCH(tbLancamentos[[#This Row],[Equipamento]],CadEqu!$F$7:$F$506,0),1),""))</f>
        <v/>
      </c>
    </row>
    <row r="259" spans="2:13" x14ac:dyDescent="0.25">
      <c r="B259" s="2">
        <f>COUNTA($B$6:B258)</f>
        <v>253</v>
      </c>
      <c r="C259" s="94"/>
      <c r="D259" s="16" t="str">
        <f>IFERROR(IF(C259="","",INDEX(CadEqu!$E$7:$F$506,MATCH(tbLancamentos[[#This Row],[Equipamento]],CadEqu!$F$7:$F$506,0),1)),"")</f>
        <v/>
      </c>
      <c r="E259" s="94"/>
      <c r="F259" s="95"/>
      <c r="G259" s="95"/>
      <c r="H259" s="96" t="str">
        <f ca="1">IF(tbLancamentos[Momento da falha]="","",IF(tbLancamentos[Momento do retorno]="",NOW()-tbLancamentos[Momento da falha],tbLancamentos[Momento do retorno]-tbLancamentos[Momento da falha]))</f>
        <v/>
      </c>
      <c r="I259" s="96" t="str">
        <f>IF(tbLancamentos[[#This Row],[Momento da falha]]="","",IFERROR(VLOOKUP(tbLancamentos[[#This Row],[Equipamento]],CadEqu!$F$7:$H$506,3,FALSE),""))</f>
        <v/>
      </c>
      <c r="J259" s="96" t="str">
        <f ca="1">IF(tbLancamentos[Tempo indisponível]="","",IF(tbLancamentos[Tempo indisponível]&lt;=tbLancamentos[Meta tempo reparo],0,tbLancamentos[Tempo indisponível]-tbLancamentos[Meta tempo reparo]))</f>
        <v/>
      </c>
      <c r="K259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59" s="97"/>
      <c r="M259" s="98" t="str">
        <f>IF(tbLancamentos[[#This Row],[Equipamento]]="","",IFERROR(INDEX(CadEqu!$C$7:$F$506,MATCH(tbLancamentos[[#This Row],[Equipamento]],CadEqu!$F$7:$F$506,0),1),""))</f>
        <v/>
      </c>
    </row>
    <row r="260" spans="2:13" x14ac:dyDescent="0.25">
      <c r="B260" s="2">
        <f>COUNTA($B$6:B259)</f>
        <v>254</v>
      </c>
      <c r="C260" s="94"/>
      <c r="D260" s="16" t="str">
        <f>IFERROR(IF(C260="","",INDEX(CadEqu!$E$7:$F$506,MATCH(tbLancamentos[[#This Row],[Equipamento]],CadEqu!$F$7:$F$506,0),1)),"")</f>
        <v/>
      </c>
      <c r="E260" s="94"/>
      <c r="F260" s="95"/>
      <c r="G260" s="95"/>
      <c r="H260" s="96" t="str">
        <f ca="1">IF(tbLancamentos[Momento da falha]="","",IF(tbLancamentos[Momento do retorno]="",NOW()-tbLancamentos[Momento da falha],tbLancamentos[Momento do retorno]-tbLancamentos[Momento da falha]))</f>
        <v/>
      </c>
      <c r="I260" s="96" t="str">
        <f>IF(tbLancamentos[[#This Row],[Momento da falha]]="","",IFERROR(VLOOKUP(tbLancamentos[[#This Row],[Equipamento]],CadEqu!$F$7:$H$506,3,FALSE),""))</f>
        <v/>
      </c>
      <c r="J260" s="96" t="str">
        <f ca="1">IF(tbLancamentos[Tempo indisponível]="","",IF(tbLancamentos[Tempo indisponível]&lt;=tbLancamentos[Meta tempo reparo],0,tbLancamentos[Tempo indisponível]-tbLancamentos[Meta tempo reparo]))</f>
        <v/>
      </c>
      <c r="K260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60" s="97"/>
      <c r="M260" s="98" t="str">
        <f>IF(tbLancamentos[[#This Row],[Equipamento]]="","",IFERROR(INDEX(CadEqu!$C$7:$F$506,MATCH(tbLancamentos[[#This Row],[Equipamento]],CadEqu!$F$7:$F$506,0),1),""))</f>
        <v/>
      </c>
    </row>
    <row r="261" spans="2:13" x14ac:dyDescent="0.25">
      <c r="B261" s="2">
        <f>COUNTA($B$6:B260)</f>
        <v>255</v>
      </c>
      <c r="C261" s="94"/>
      <c r="D261" s="16" t="str">
        <f>IFERROR(IF(C261="","",INDEX(CadEqu!$E$7:$F$506,MATCH(tbLancamentos[[#This Row],[Equipamento]],CadEqu!$F$7:$F$506,0),1)),"")</f>
        <v/>
      </c>
      <c r="E261" s="94"/>
      <c r="F261" s="95"/>
      <c r="G261" s="95"/>
      <c r="H261" s="96" t="str">
        <f ca="1">IF(tbLancamentos[Momento da falha]="","",IF(tbLancamentos[Momento do retorno]="",NOW()-tbLancamentos[Momento da falha],tbLancamentos[Momento do retorno]-tbLancamentos[Momento da falha]))</f>
        <v/>
      </c>
      <c r="I261" s="96" t="str">
        <f>IF(tbLancamentos[[#This Row],[Momento da falha]]="","",IFERROR(VLOOKUP(tbLancamentos[[#This Row],[Equipamento]],CadEqu!$F$7:$H$506,3,FALSE),""))</f>
        <v/>
      </c>
      <c r="J261" s="96" t="str">
        <f ca="1">IF(tbLancamentos[Tempo indisponível]="","",IF(tbLancamentos[Tempo indisponível]&lt;=tbLancamentos[Meta tempo reparo],0,tbLancamentos[Tempo indisponível]-tbLancamentos[Meta tempo reparo]))</f>
        <v/>
      </c>
      <c r="K261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61" s="97"/>
      <c r="M261" s="98" t="str">
        <f>IF(tbLancamentos[[#This Row],[Equipamento]]="","",IFERROR(INDEX(CadEqu!$C$7:$F$506,MATCH(tbLancamentos[[#This Row],[Equipamento]],CadEqu!$F$7:$F$506,0),1),""))</f>
        <v/>
      </c>
    </row>
    <row r="262" spans="2:13" x14ac:dyDescent="0.25">
      <c r="B262" s="2">
        <f>COUNTA($B$6:B261)</f>
        <v>256</v>
      </c>
      <c r="C262" s="94"/>
      <c r="D262" s="16" t="str">
        <f>IFERROR(IF(C262="","",INDEX(CadEqu!$E$7:$F$506,MATCH(tbLancamentos[[#This Row],[Equipamento]],CadEqu!$F$7:$F$506,0),1)),"")</f>
        <v/>
      </c>
      <c r="E262" s="94"/>
      <c r="F262" s="95"/>
      <c r="G262" s="95"/>
      <c r="H262" s="96" t="str">
        <f ca="1">IF(tbLancamentos[Momento da falha]="","",IF(tbLancamentos[Momento do retorno]="",NOW()-tbLancamentos[Momento da falha],tbLancamentos[Momento do retorno]-tbLancamentos[Momento da falha]))</f>
        <v/>
      </c>
      <c r="I262" s="96" t="str">
        <f>IF(tbLancamentos[[#This Row],[Momento da falha]]="","",IFERROR(VLOOKUP(tbLancamentos[[#This Row],[Equipamento]],CadEqu!$F$7:$H$506,3,FALSE),""))</f>
        <v/>
      </c>
      <c r="J262" s="96" t="str">
        <f ca="1">IF(tbLancamentos[Tempo indisponível]="","",IF(tbLancamentos[Tempo indisponível]&lt;=tbLancamentos[Meta tempo reparo],0,tbLancamentos[Tempo indisponível]-tbLancamentos[Meta tempo reparo]))</f>
        <v/>
      </c>
      <c r="K262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62" s="97"/>
      <c r="M262" s="98" t="str">
        <f>IF(tbLancamentos[[#This Row],[Equipamento]]="","",IFERROR(INDEX(CadEqu!$C$7:$F$506,MATCH(tbLancamentos[[#This Row],[Equipamento]],CadEqu!$F$7:$F$506,0),1),""))</f>
        <v/>
      </c>
    </row>
    <row r="263" spans="2:13" x14ac:dyDescent="0.25">
      <c r="B263" s="2">
        <f>COUNTA($B$6:B262)</f>
        <v>257</v>
      </c>
      <c r="C263" s="94"/>
      <c r="D263" s="16" t="str">
        <f>IFERROR(IF(C263="","",INDEX(CadEqu!$E$7:$F$506,MATCH(tbLancamentos[[#This Row],[Equipamento]],CadEqu!$F$7:$F$506,0),1)),"")</f>
        <v/>
      </c>
      <c r="E263" s="94"/>
      <c r="F263" s="95"/>
      <c r="G263" s="95"/>
      <c r="H263" s="96" t="str">
        <f ca="1">IF(tbLancamentos[Momento da falha]="","",IF(tbLancamentos[Momento do retorno]="",NOW()-tbLancamentos[Momento da falha],tbLancamentos[Momento do retorno]-tbLancamentos[Momento da falha]))</f>
        <v/>
      </c>
      <c r="I263" s="96" t="str">
        <f>IF(tbLancamentos[[#This Row],[Momento da falha]]="","",IFERROR(VLOOKUP(tbLancamentos[[#This Row],[Equipamento]],CadEqu!$F$7:$H$506,3,FALSE),""))</f>
        <v/>
      </c>
      <c r="J263" s="96" t="str">
        <f ca="1">IF(tbLancamentos[Tempo indisponível]="","",IF(tbLancamentos[Tempo indisponível]&lt;=tbLancamentos[Meta tempo reparo],0,tbLancamentos[Tempo indisponível]-tbLancamentos[Meta tempo reparo]))</f>
        <v/>
      </c>
      <c r="K263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63" s="97"/>
      <c r="M263" s="98" t="str">
        <f>IF(tbLancamentos[[#This Row],[Equipamento]]="","",IFERROR(INDEX(CadEqu!$C$7:$F$506,MATCH(tbLancamentos[[#This Row],[Equipamento]],CadEqu!$F$7:$F$506,0),1),""))</f>
        <v/>
      </c>
    </row>
    <row r="264" spans="2:13" x14ac:dyDescent="0.25">
      <c r="B264" s="2">
        <f>COUNTA($B$6:B263)</f>
        <v>258</v>
      </c>
      <c r="C264" s="94"/>
      <c r="D264" s="16" t="str">
        <f>IFERROR(IF(C264="","",INDEX(CadEqu!$E$7:$F$506,MATCH(tbLancamentos[[#This Row],[Equipamento]],CadEqu!$F$7:$F$506,0),1)),"")</f>
        <v/>
      </c>
      <c r="E264" s="94"/>
      <c r="F264" s="95"/>
      <c r="G264" s="95"/>
      <c r="H264" s="96" t="str">
        <f ca="1">IF(tbLancamentos[Momento da falha]="","",IF(tbLancamentos[Momento do retorno]="",NOW()-tbLancamentos[Momento da falha],tbLancamentos[Momento do retorno]-tbLancamentos[Momento da falha]))</f>
        <v/>
      </c>
      <c r="I264" s="96" t="str">
        <f>IF(tbLancamentos[[#This Row],[Momento da falha]]="","",IFERROR(VLOOKUP(tbLancamentos[[#This Row],[Equipamento]],CadEqu!$F$7:$H$506,3,FALSE),""))</f>
        <v/>
      </c>
      <c r="J264" s="96" t="str">
        <f ca="1">IF(tbLancamentos[Tempo indisponível]="","",IF(tbLancamentos[Tempo indisponível]&lt;=tbLancamentos[Meta tempo reparo],0,tbLancamentos[Tempo indisponível]-tbLancamentos[Meta tempo reparo]))</f>
        <v/>
      </c>
      <c r="K264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64" s="97"/>
      <c r="M264" s="98" t="str">
        <f>IF(tbLancamentos[[#This Row],[Equipamento]]="","",IFERROR(INDEX(CadEqu!$C$7:$F$506,MATCH(tbLancamentos[[#This Row],[Equipamento]],CadEqu!$F$7:$F$506,0),1),""))</f>
        <v/>
      </c>
    </row>
    <row r="265" spans="2:13" x14ac:dyDescent="0.25">
      <c r="B265" s="2">
        <f>COUNTA($B$6:B264)</f>
        <v>259</v>
      </c>
      <c r="C265" s="94"/>
      <c r="D265" s="16" t="str">
        <f>IFERROR(IF(C265="","",INDEX(CadEqu!$E$7:$F$506,MATCH(tbLancamentos[[#This Row],[Equipamento]],CadEqu!$F$7:$F$506,0),1)),"")</f>
        <v/>
      </c>
      <c r="E265" s="94"/>
      <c r="F265" s="95"/>
      <c r="G265" s="95"/>
      <c r="H265" s="96" t="str">
        <f ca="1">IF(tbLancamentos[Momento da falha]="","",IF(tbLancamentos[Momento do retorno]="",NOW()-tbLancamentos[Momento da falha],tbLancamentos[Momento do retorno]-tbLancamentos[Momento da falha]))</f>
        <v/>
      </c>
      <c r="I265" s="96" t="str">
        <f>IF(tbLancamentos[[#This Row],[Momento da falha]]="","",IFERROR(VLOOKUP(tbLancamentos[[#This Row],[Equipamento]],CadEqu!$F$7:$H$506,3,FALSE),""))</f>
        <v/>
      </c>
      <c r="J265" s="96" t="str">
        <f ca="1">IF(tbLancamentos[Tempo indisponível]="","",IF(tbLancamentos[Tempo indisponível]&lt;=tbLancamentos[Meta tempo reparo],0,tbLancamentos[Tempo indisponível]-tbLancamentos[Meta tempo reparo]))</f>
        <v/>
      </c>
      <c r="K265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65" s="97"/>
      <c r="M265" s="98" t="str">
        <f>IF(tbLancamentos[[#This Row],[Equipamento]]="","",IFERROR(INDEX(CadEqu!$C$7:$F$506,MATCH(tbLancamentos[[#This Row],[Equipamento]],CadEqu!$F$7:$F$506,0),1),""))</f>
        <v/>
      </c>
    </row>
    <row r="266" spans="2:13" x14ac:dyDescent="0.25">
      <c r="B266" s="23">
        <f>COUNTA($B$6:B265)</f>
        <v>260</v>
      </c>
      <c r="C266" s="94"/>
      <c r="D266" s="24" t="str">
        <f>IFERROR(IF(C266="","",INDEX(CadEqu!$E$7:$F$506,MATCH(tbLancamentos[[#This Row],[Equipamento]],CadEqu!$F$7:$F$506,0),1)),"")</f>
        <v/>
      </c>
      <c r="E266" s="94"/>
      <c r="F266" s="95"/>
      <c r="G266" s="95"/>
      <c r="H266" s="96" t="str">
        <f ca="1">IF(tbLancamentos[Momento da falha]="","",IF(tbLancamentos[Momento do retorno]="",NOW()-tbLancamentos[Momento da falha],tbLancamentos[Momento do retorno]-tbLancamentos[Momento da falha]))</f>
        <v/>
      </c>
      <c r="I266" s="96" t="str">
        <f>IF(tbLancamentos[[#This Row],[Momento da falha]]="","",IFERROR(VLOOKUP(tbLancamentos[[#This Row],[Equipamento]],CadEqu!$F$7:$H$506,3,FALSE),""))</f>
        <v/>
      </c>
      <c r="J266" s="96" t="str">
        <f ca="1">IF(tbLancamentos[Tempo indisponível]="","",IF(tbLancamentos[Tempo indisponível]&lt;=tbLancamentos[Meta tempo reparo],0,tbLancamentos[Tempo indisponível]-tbLancamentos[Meta tempo reparo]))</f>
        <v/>
      </c>
      <c r="K266" s="96" t="str">
        <f>IF(AND(tbLancamentos[[#This Row],[Momento da falha]]&gt;0,tbLancamentos[[#This Row],[Momento do retorno]]&gt;tbLancamentos[[#This Row],[Momento da falha]]),"Concluído",IF(AND(tbLancamentos[[#This Row],[Momento da falha]]&gt;0,tbLancamentos[[#This Row],[Momento do retorno]]=""),"Em Execução",""))</f>
        <v/>
      </c>
      <c r="L266" s="97"/>
      <c r="M266" s="98" t="str">
        <f>IF(tbLancamentos[[#This Row],[Equipamento]]="","",IFERROR(INDEX(CadEqu!$C$7:$F$506,MATCH(tbLancamentos[[#This Row],[Equipamento]],CadEqu!$F$7:$F$506,0),1),""))</f>
        <v/>
      </c>
    </row>
  </sheetData>
  <sheetProtection password="9004" sheet="1" objects="1" scenarios="1"/>
  <conditionalFormatting sqref="K7:K266">
    <cfRule type="containsText" dxfId="27" priority="1" operator="containsText" text="Execução">
      <formula>NOT(ISERROR(SEARCH("Execução",K7)))</formula>
    </cfRule>
    <cfRule type="containsText" dxfId="26" priority="2" operator="containsText" text="Concluído">
      <formula>NOT(ISERROR(SEARCH("Concluído",K7)))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6" fitToHeight="1000" orientation="landscape" r:id="rId1"/>
  <headerFooter>
    <oddHeader>&amp;CCONTROLE DE FALHAS
Relatório de Falhas de Equipamentos</oddHeader>
    <oddFooter>&amp;LImpresso em &amp;D as &amp;T&amp;RPágina &amp;P de &amp;N páginas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CadEqu!$F$7:$F$506</xm:f>
          </x14:formula1>
          <xm:sqref>C7:C266</xm:sqref>
        </x14:dataValidation>
        <x14:dataValidation type="list" allowBlank="1" showInputMessage="1" showErrorMessage="1">
          <x14:formula1>
            <xm:f>CadFal!$C$7:$C$26</xm:f>
          </x14:formula1>
          <xm:sqref>E7:E266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Ini</vt:lpstr>
      <vt:lpstr>Duv</vt:lpstr>
      <vt:lpstr>Sug</vt:lpstr>
      <vt:lpstr>Sou</vt:lpstr>
      <vt:lpstr>CadCat</vt:lpstr>
      <vt:lpstr>CadSet</vt:lpstr>
      <vt:lpstr>CadEqu</vt:lpstr>
      <vt:lpstr>CadFal</vt:lpstr>
      <vt:lpstr>Lan</vt:lpstr>
      <vt:lpstr>Res</vt:lpstr>
      <vt:lpstr>Gra</vt:lpstr>
      <vt:lpstr>Ind</vt:lpstr>
      <vt:lpstr>Rel</vt:lpstr>
      <vt:lpstr>Das</vt:lpstr>
      <vt:lpstr>Ind!Area_de_impressao</vt:lpstr>
      <vt:lpstr>Lan!Area_de_impressao</vt:lpstr>
      <vt:lpstr>Rel!Area_de_impressao</vt:lpstr>
      <vt:lpstr>Ind!Titulos_de_impressao</vt:lpstr>
      <vt:lpstr>Lan!Titulos_de_impressao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Flavio Dias de Souza</cp:lastModifiedBy>
  <cp:lastPrinted>2022-04-27T11:52:56Z</cp:lastPrinted>
  <dcterms:created xsi:type="dcterms:W3CDTF">2018-05-31T18:10:37Z</dcterms:created>
  <dcterms:modified xsi:type="dcterms:W3CDTF">2022-04-28T12:32:51Z</dcterms:modified>
</cp:coreProperties>
</file>